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55" activeTab="0"/>
  </bookViews>
  <sheets>
    <sheet name="Summ-Net Cost to State" sheetId="1" r:id="rId1"/>
    <sheet name="Summ-Outlays" sheetId="2" r:id="rId2"/>
    <sheet name="Summ-Op Revenues" sheetId="3" r:id="rId3"/>
    <sheet name="Op Cash Flow Ph 1" sheetId="4" r:id="rId4"/>
    <sheet name="Infrast Maint" sheetId="5" r:id="rId5"/>
    <sheet name="Debt Service" sheetId="6" r:id="rId6"/>
    <sheet name="State Bonds Ph 3-8" sheetId="7" r:id="rId7"/>
    <sheet name="DOT-PMF" sheetId="8" r:id="rId8"/>
    <sheet name="Approp Cash Flow Ph 1" sheetId="9" r:id="rId9"/>
  </sheets>
  <definedNames>
    <definedName name="_xlnm.Print_Area" localSheetId="6">'State Bonds Ph 3-8'!$A$1:$H$49</definedName>
    <definedName name="_xlnm.Print_Area" localSheetId="0">'Summ-Net Cost to State'!$A$1:$O$14</definedName>
    <definedName name="_xlnm.Print_Area" localSheetId="2">'Summ-Op Revenues'!$A$1:$G$23</definedName>
    <definedName name="_xlnm.Print_Area" localSheetId="1">'Summ-Outlays'!$A$1:$N$36</definedName>
    <definedName name="wrn.sum._.and._.schedules." localSheetId="6" hidden="1">{#N/A,#N/A,FALSE,"Truth in Bonding";#N/A,#N/A,FALSE,"Prisons";#N/A,#N/A,FALSE,"P-2000";#N/A,#N/A,FALSE,"PECO";#N/A,#N/A,FALSE,"Right of Way";#N/A,#N/A,FALSE,"Turnpike 1";#N/A,#N/A,FALSE,"Turnpike 2"}</definedName>
    <definedName name="wrn.sum._.and._.schedules." localSheetId="0" hidden="1">{#N/A,#N/A,FALSE,"Truth in Bonding";#N/A,#N/A,FALSE,"Prisons";#N/A,#N/A,FALSE,"P-2000";#N/A,#N/A,FALSE,"PECO";#N/A,#N/A,FALSE,"Right of Way";#N/A,#N/A,FALSE,"Turnpike 1";#N/A,#N/A,FALSE,"Turnpike 2"}</definedName>
    <definedName name="wrn.sum._.and._.schedules." localSheetId="2" hidden="1">{#N/A,#N/A,FALSE,"Truth in Bonding";#N/A,#N/A,FALSE,"Prisons";#N/A,#N/A,FALSE,"P-2000";#N/A,#N/A,FALSE,"PECO";#N/A,#N/A,FALSE,"Right of Way";#N/A,#N/A,FALSE,"Turnpike 1";#N/A,#N/A,FALSE,"Turnpike 2"}</definedName>
    <definedName name="wrn.sum._.and._.schedules." hidden="1">{#N/A,#N/A,FALSE,"Truth in Bonding";#N/A,#N/A,FALSE,"Prisons";#N/A,#N/A,FALSE,"P-2000";#N/A,#N/A,FALSE,"PECO";#N/A,#N/A,FALSE,"Right of Way";#N/A,#N/A,FALSE,"Turnpike 1";#N/A,#N/A,FALSE,"Turnpike 2"}</definedName>
  </definedNames>
  <calcPr fullCalcOnLoad="1"/>
</workbook>
</file>

<file path=xl/comments2.xml><?xml version="1.0" encoding="utf-8"?>
<comments xmlns="http://schemas.openxmlformats.org/spreadsheetml/2006/main">
  <authors>
    <author>Don Langston</author>
  </authors>
  <commentList>
    <comment ref="E11" authorId="0">
      <text>
        <r>
          <rPr>
            <b/>
            <sz val="8"/>
            <rFont val="Tahoma"/>
            <family val="0"/>
          </rPr>
          <t>20 trainsets @ 17m per</t>
        </r>
      </text>
    </comment>
  </commentList>
</comments>
</file>

<file path=xl/comments3.xml><?xml version="1.0" encoding="utf-8"?>
<comments xmlns="http://schemas.openxmlformats.org/spreadsheetml/2006/main">
  <authors>
    <author>Don Langston</author>
  </authors>
  <commentList>
    <comment ref="E11" authorId="0">
      <text>
        <r>
          <rPr>
            <b/>
            <sz val="8"/>
            <rFont val="Tahoma"/>
            <family val="0"/>
          </rPr>
          <t>20 trainsets @ 17m per</t>
        </r>
      </text>
    </comment>
  </commentList>
</comments>
</file>

<file path=xl/comments4.xml><?xml version="1.0" encoding="utf-8"?>
<comments xmlns="http://schemas.openxmlformats.org/spreadsheetml/2006/main">
  <authors>
    <author>Don Langston</author>
    <author>home</author>
  </authors>
  <commentList>
    <comment ref="A1" authorId="0">
      <text>
        <r>
          <rPr>
            <sz val="8"/>
            <rFont val="Tahoma"/>
            <family val="0"/>
          </rPr>
          <t xml:space="preserve">Flour-Bombardier        June 22, 2004
</t>
        </r>
      </text>
    </comment>
    <comment ref="Q3" authorId="1">
      <text>
        <r>
          <rPr>
            <b/>
            <sz val="8"/>
            <rFont val="Tahoma"/>
            <family val="0"/>
          </rPr>
          <t xml:space="preserve">July 8, 2004 presentation to FIEC.  DEBT consultant estimated 16.85m reduction in revenue for 2010
</t>
        </r>
        <r>
          <rPr>
            <sz val="8"/>
            <rFont val="Tahoma"/>
            <family val="0"/>
          </rPr>
          <t xml:space="preserve">
</t>
        </r>
      </text>
    </comment>
    <comment ref="R3" authorId="1">
      <text>
        <r>
          <rPr>
            <b/>
            <sz val="8"/>
            <rFont val="Tahoma"/>
            <family val="0"/>
          </rPr>
          <t xml:space="preserve">July 8, 2004 presentation to FIEC.  DEBT consultant estimated 16.85m reduction in revenue for 2010
</t>
        </r>
        <r>
          <rPr>
            <sz val="8"/>
            <rFont val="Tahoma"/>
            <family val="0"/>
          </rPr>
          <t xml:space="preserve">
</t>
        </r>
      </text>
    </comment>
    <comment ref="S3" authorId="1">
      <text>
        <r>
          <rPr>
            <b/>
            <sz val="8"/>
            <rFont val="Tahoma"/>
            <family val="0"/>
          </rPr>
          <t xml:space="preserve">July 8, 2004 presentation to FIEC.  DEBT consultant estimated 16.85m reduction in revenue for 2010
</t>
        </r>
        <r>
          <rPr>
            <sz val="8"/>
            <rFont val="Tahoma"/>
            <family val="0"/>
          </rPr>
          <t xml:space="preserve">
</t>
        </r>
      </text>
    </comment>
    <comment ref="K52" authorId="1">
      <text>
        <r>
          <rPr>
            <b/>
            <sz val="8"/>
            <rFont val="Tahoma"/>
            <family val="0"/>
          </rPr>
          <t>From Orlando-Miami Study:  ratio of operating costs to operating revenues, avg annual, 2002 dollars</t>
        </r>
        <r>
          <rPr>
            <sz val="8"/>
            <rFont val="Tahoma"/>
            <family val="0"/>
          </rPr>
          <t xml:space="preserve">
</t>
        </r>
      </text>
    </comment>
    <comment ref="U1" authorId="0">
      <text>
        <r>
          <rPr>
            <b/>
            <sz val="8"/>
            <rFont val="Tahoma"/>
            <family val="0"/>
          </rPr>
          <t xml:space="preserve">Equipment cost increase Ph 1 to Ph 2
</t>
        </r>
      </text>
    </comment>
    <comment ref="V1" authorId="0">
      <text>
        <r>
          <rPr>
            <b/>
            <sz val="8"/>
            <rFont val="Tahoma"/>
            <family val="0"/>
          </rPr>
          <t xml:space="preserve">Equipment cost increase Ph 2 to Ph 3
</t>
        </r>
      </text>
    </comment>
  </commentList>
</comments>
</file>

<file path=xl/comments9.xml><?xml version="1.0" encoding="utf-8"?>
<comments xmlns="http://schemas.openxmlformats.org/spreadsheetml/2006/main">
  <authors>
    <author>Don Langston</author>
  </authors>
  <commentList>
    <comment ref="A1" authorId="0">
      <text>
        <r>
          <rPr>
            <sz val="8"/>
            <rFont val="Tahoma"/>
            <family val="0"/>
          </rPr>
          <t xml:space="preserve">Flour-Bombardier        June 22, 2004
</t>
        </r>
      </text>
    </comment>
  </commentList>
</comments>
</file>

<file path=xl/sharedStrings.xml><?xml version="1.0" encoding="utf-8"?>
<sst xmlns="http://schemas.openxmlformats.org/spreadsheetml/2006/main" count="217" uniqueCount="153">
  <si>
    <t>Year</t>
  </si>
  <si>
    <t>Revenues</t>
  </si>
  <si>
    <t>O &amp; M</t>
  </si>
  <si>
    <t>Net Debt Srv</t>
  </si>
  <si>
    <t>Cash to FHSRA</t>
  </si>
  <si>
    <t>Coverage on Net Debt Service</t>
  </si>
  <si>
    <t>Coverage on Debt Serv and O &amp; M</t>
  </si>
  <si>
    <t>Appropriations Cash Flow</t>
  </si>
  <si>
    <t>Approps Commitment</t>
  </si>
  <si>
    <t>Debt Service</t>
  </si>
  <si>
    <t>Cap Maint</t>
  </si>
  <si>
    <t>Surplus</t>
  </si>
  <si>
    <t>Net Approps</t>
  </si>
  <si>
    <t>Cum Net Approps</t>
  </si>
  <si>
    <t>Op Cash to FHSRA - Net Approps</t>
  </si>
  <si>
    <t>Op Cash to FHSRA - Approps Comm</t>
  </si>
  <si>
    <t>TOTAL</t>
  </si>
  <si>
    <t>HSRA Proj Infrast</t>
  </si>
  <si>
    <t>Net Investment Earnings</t>
  </si>
  <si>
    <t>USES OF FUNDS</t>
  </si>
  <si>
    <t>Underwrit</t>
  </si>
  <si>
    <t>Misc Cost of</t>
  </si>
  <si>
    <t>Project</t>
  </si>
  <si>
    <t>Bond</t>
  </si>
  <si>
    <t>Debt Serv</t>
  </si>
  <si>
    <t>Discount</t>
  </si>
  <si>
    <t>Issuance</t>
  </si>
  <si>
    <t>Const Fund</t>
  </si>
  <si>
    <t>Insurance</t>
  </si>
  <si>
    <t>Reserve</t>
  </si>
  <si>
    <t>Conting.</t>
  </si>
  <si>
    <t>ISSUED</t>
  </si>
  <si>
    <t>ASSUMPTIONS</t>
  </si>
  <si>
    <t>Issue</t>
  </si>
  <si>
    <t>Const</t>
  </si>
  <si>
    <t>Interest</t>
  </si>
  <si>
    <t xml:space="preserve">Term of </t>
  </si>
  <si>
    <t>Date</t>
  </si>
  <si>
    <t>Period</t>
  </si>
  <si>
    <t>Rate</t>
  </si>
  <si>
    <t>Bonds (yrs)</t>
  </si>
  <si>
    <t>DEBT SERVICE BY FISCAL YEAR:</t>
  </si>
  <si>
    <t>Total Debt</t>
  </si>
  <si>
    <t>Principal</t>
  </si>
  <si>
    <t>Service</t>
  </si>
  <si>
    <t>yrs</t>
  </si>
  <si>
    <t>Total</t>
  </si>
  <si>
    <t>Phase</t>
  </si>
  <si>
    <t>Infrastructure (4)</t>
  </si>
  <si>
    <t>Equipment (5)</t>
  </si>
  <si>
    <t>Day-to-Day Operations</t>
  </si>
  <si>
    <t>(1)</t>
  </si>
  <si>
    <t>(2)</t>
  </si>
  <si>
    <t>(3)</t>
  </si>
  <si>
    <t>Annual</t>
  </si>
  <si>
    <t>30 Years</t>
  </si>
  <si>
    <t>Financing</t>
  </si>
  <si>
    <t>(Now delayed at least a year due to delay in permitting process; will not affect funding amounts)</t>
  </si>
  <si>
    <t>Phase 1</t>
  </si>
  <si>
    <t>Phase 2</t>
  </si>
  <si>
    <t>Phases 1 &amp; 2</t>
  </si>
  <si>
    <t>Purpose</t>
  </si>
  <si>
    <t>HSR</t>
  </si>
  <si>
    <t>@ $6.5B</t>
  </si>
  <si>
    <t>Finish Environmental Impact Statement, begin preliminary engineering, issuance of bonds</t>
  </si>
  <si>
    <t>Preliminary Engineering continues, purchasing of right-of-way</t>
  </si>
  <si>
    <t>Right-of way continues and debt service kicks in on bonds</t>
  </si>
  <si>
    <t>Peak Annual Cost</t>
  </si>
  <si>
    <r>
      <t xml:space="preserve">DOT’s Estimated State Cash Needs for High Speed Rail </t>
    </r>
    <r>
      <rPr>
        <b/>
        <i/>
        <u val="single"/>
        <sz val="12"/>
        <rFont val="Comic Sans MS"/>
        <family val="4"/>
      </rPr>
      <t>with interest:</t>
    </r>
  </si>
  <si>
    <r>
      <t>33</t>
    </r>
    <r>
      <rPr>
        <vertAlign val="superscript"/>
        <sz val="8"/>
        <rFont val="Comic Sans MS"/>
        <family val="4"/>
      </rPr>
      <t>rd</t>
    </r>
    <r>
      <rPr>
        <sz val="8"/>
        <rFont val="Comic Sans MS"/>
        <family val="4"/>
      </rPr>
      <t xml:space="preserve"> year</t>
    </r>
  </si>
  <si>
    <r>
      <t>35</t>
    </r>
    <r>
      <rPr>
        <vertAlign val="superscript"/>
        <sz val="8"/>
        <rFont val="Comic Sans MS"/>
        <family val="4"/>
      </rPr>
      <t>th</t>
    </r>
    <r>
      <rPr>
        <sz val="8"/>
        <rFont val="Comic Sans MS"/>
        <family val="4"/>
      </rPr>
      <t xml:space="preserve"> year</t>
    </r>
  </si>
  <si>
    <t>NPV</t>
  </si>
  <si>
    <t>Infrastructure Maintenance Schedules</t>
  </si>
  <si>
    <t>Phase Miles =</t>
  </si>
  <si>
    <t>Phase 3</t>
  </si>
  <si>
    <t>Recurring</t>
  </si>
  <si>
    <t>(6)</t>
  </si>
  <si>
    <t>(7)</t>
  </si>
  <si>
    <t>(8)</t>
  </si>
  <si>
    <t>Infrastructure Maintenance (9)</t>
  </si>
  <si>
    <t>(13)</t>
  </si>
  <si>
    <t>(14)</t>
  </si>
  <si>
    <t>(15)</t>
  </si>
  <si>
    <t>(Millions of Dollars)</t>
  </si>
  <si>
    <t>Miles</t>
  </si>
  <si>
    <t>Total Project Costs</t>
  </si>
  <si>
    <t>Finance Cost =</t>
  </si>
  <si>
    <t>STATE REVENUE BONDS--Phases 3 - 8</t>
  </si>
  <si>
    <t>Net Costs to State</t>
  </si>
  <si>
    <t>State of Florida</t>
  </si>
  <si>
    <t>High Speed Rail Funding Analysis</t>
  </si>
  <si>
    <t>PHASE I Funding to Provide $2.638 Billion</t>
  </si>
  <si>
    <t>Assumptions:</t>
  </si>
  <si>
    <t>Infrastructure Costs:  Phase I - $2.638 Billion</t>
  </si>
  <si>
    <t>Phase Funding:  Phase I - Funded Equally Over Three Years</t>
  </si>
  <si>
    <t>Aggregate Interest Rate:  5.5751%</t>
  </si>
  <si>
    <t>Issue Term:  30 years</t>
  </si>
  <si>
    <t>Debt Structure:  Level Debt</t>
  </si>
  <si>
    <t>Total Issue Cost:  1%</t>
  </si>
  <si>
    <t>Estimated Bonds:  Phase I - $2.7 Billion</t>
  </si>
  <si>
    <t>Estimated Annual Debt Service: Phase I - $188.5 Million</t>
  </si>
  <si>
    <t>PHASE II Funding to Provide $7.18 Billion</t>
  </si>
  <si>
    <t>Infrastructure Costs:  Phase II - $7.18 Billion</t>
  </si>
  <si>
    <t>Phase Funding:  Phase II - Funded Equally Over Six Years</t>
  </si>
  <si>
    <t>Aggregate Interest Rate:  6.0%</t>
  </si>
  <si>
    <t>Estimated Bonds:  Phase II - $7.3 Billion</t>
  </si>
  <si>
    <t>Estimated Annual Debt Service: Phase II - $526.9 Million</t>
  </si>
  <si>
    <t>PHASE I and II Funding to Provide $9.818 Billion</t>
  </si>
  <si>
    <t>Infrastructure Costs:  Phase I - $2.638 Billion; Phase II - $7.18 Billion</t>
  </si>
  <si>
    <t xml:space="preserve"> Phase II - Funded Equally Over Six Years</t>
  </si>
  <si>
    <t>Aggregate Interest Rate:  5.934%</t>
  </si>
  <si>
    <t>Estimated Bonds:  Phase I - $2.7 Billion; Phase II - $7.3 Billion; Total - $9.9 Billion</t>
  </si>
  <si>
    <t>Estimated Annual Debt Service: Phase I - $188.5 Million; Phase II - $526.9 Million</t>
  </si>
  <si>
    <t xml:space="preserve"> Total Estimated Annual Debt Service $715.4 Million</t>
  </si>
  <si>
    <t>High</t>
  </si>
  <si>
    <t>Low</t>
  </si>
  <si>
    <t>= Mileage Ratios</t>
  </si>
  <si>
    <t>O &amp; M Phase 2</t>
  </si>
  <si>
    <t>O &amp; M Phase 3</t>
  </si>
  <si>
    <t>Operating Cash Flow--Phase 1</t>
  </si>
  <si>
    <t>Revenues--FB</t>
  </si>
  <si>
    <t>Revenues--HNTB</t>
  </si>
  <si>
    <t>FB Revenues Phase 2</t>
  </si>
  <si>
    <t>HNTB Revenues Phase 2</t>
  </si>
  <si>
    <t>Modified HNTB Revenues Phase 1</t>
  </si>
  <si>
    <t>Modified HNTB Revenues Phase 2</t>
  </si>
  <si>
    <t>Modified HNTB Revenues Phase 3</t>
  </si>
  <si>
    <t>FB Revenues Phase 3 - 8</t>
  </si>
  <si>
    <t>HNTB Revenues Phase 3 - 8</t>
  </si>
  <si>
    <t>Mid</t>
  </si>
  <si>
    <t>(4)</t>
  </si>
  <si>
    <t>Middle</t>
  </si>
  <si>
    <t>(10)</t>
  </si>
  <si>
    <t>(11)</t>
  </si>
  <si>
    <t>(12)</t>
  </si>
  <si>
    <t>Per Household =</t>
  </si>
  <si>
    <t>Net Debt Srv Phase 2</t>
  </si>
  <si>
    <t>Net Debt Srv Phase 3</t>
  </si>
  <si>
    <t>Thru 2035</t>
  </si>
  <si>
    <t>Avg</t>
  </si>
  <si>
    <t>Thru 2034</t>
  </si>
  <si>
    <t>Outlays</t>
  </si>
  <si>
    <t>Nonrecurring 
(including Financing)</t>
  </si>
  <si>
    <t>Level</t>
  </si>
  <si>
    <t>% Chng</t>
  </si>
  <si>
    <t>Table 1</t>
  </si>
  <si>
    <t>Table 3</t>
  </si>
  <si>
    <r>
      <t xml:space="preserve">Table 2
Florida Households
</t>
    </r>
    <r>
      <rPr>
        <b/>
        <sz val="10"/>
        <rFont val="Arial"/>
        <family val="2"/>
      </rPr>
      <t>(millions)</t>
    </r>
  </si>
  <si>
    <t>Table 4</t>
  </si>
  <si>
    <t>High Speed Rail Net Cost to the State: 2005 - 2034</t>
  </si>
  <si>
    <t>High Speed Rail Outlays: 2005 - 2034</t>
  </si>
  <si>
    <t>High Speed Rail Operating Revenues: 2005 - 2034</t>
  </si>
  <si>
    <t>Other Phases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</si>
</sst>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.0000"/>
    <numFmt numFmtId="168" formatCode="0.00000"/>
    <numFmt numFmtId="169" formatCode="&quot;$&quot;#,##0.000_);[Red]\(&quot;$&quot;#,##0.000\)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000"/>
    <numFmt numFmtId="174" formatCode="_(* #,##0.000_);_(* \(#,##0.00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_)"/>
    <numFmt numFmtId="178" formatCode="&quot;$&quot;#,##0.0_);\(&quot;$&quot;#,##0.00\)"/>
    <numFmt numFmtId="179" formatCode="#,##0.0"/>
    <numFmt numFmtId="180" formatCode="&quot;$&quot;#,##0.0"/>
    <numFmt numFmtId="181" formatCode="&quot;$&quot;#,##0.00"/>
    <numFmt numFmtId="182" formatCode="&quot;$&quot;#,##0.###"/>
    <numFmt numFmtId="183" formatCode="&quot;$&quot;#,##0.###0"/>
    <numFmt numFmtId="184" formatCode="&quot;$&quot;#,##0.###00"/>
    <numFmt numFmtId="185" formatCode="&quot;$&quot;#,##0.#0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%"/>
    <numFmt numFmtId="191" formatCode="_(* #,##0.000_);_(* \(#,##0.000\);_(* &quot;-&quot;???_);_(@_)"/>
    <numFmt numFmtId="192" formatCode="_(* #,##0.0_);_(* \(#,##0.0\);_(* &quot;-&quot;?_);_(@_)"/>
    <numFmt numFmtId="193" formatCode="0.000000000"/>
    <numFmt numFmtId="194" formatCode="0.0000000000"/>
    <numFmt numFmtId="195" formatCode="0.00000000"/>
    <numFmt numFmtId="196" formatCode="&quot;$&quot;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_);_(* \(#,##0\);_(* &quot;-&quot;?_);_(@_)"/>
    <numFmt numFmtId="202" formatCode="&quot;$&quot;#,##0.0_);[Red]\(&quot;$&quot;#,##0.0\)"/>
    <numFmt numFmtId="203" formatCode="_(* #,##0.0000_);_(* \(#,##0.0000\);_(* &quot;-&quot;????_);_(@_)"/>
    <numFmt numFmtId="204" formatCode="_(&quot;$&quot;* #,##0.0_);_(&quot;$&quot;* \(#,##0.0\);_(&quot;$&quot;* &quot;-&quot;?_);_(@_)"/>
    <numFmt numFmtId="205" formatCode="_(* #,##0.0000_);_(* \(#,##0.0000\);_(* &quot;-&quot;?_);_(@_)"/>
    <numFmt numFmtId="206" formatCode="0.00000%"/>
    <numFmt numFmtId="207" formatCode="_(* #,##0.0_);_(* \(#,##0.0\);_(* &quot;-&quot;_);_(@_)"/>
    <numFmt numFmtId="208" formatCode="0.00%;\(0.00%\)"/>
    <numFmt numFmtId="209" formatCode="0_);\(0\)"/>
    <numFmt numFmtId="210" formatCode="#,##0.000_);\(#,##0.000\)"/>
  </numFmts>
  <fonts count="2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Comic Sans MS"/>
      <family val="4"/>
    </font>
    <font>
      <b/>
      <u val="single"/>
      <sz val="12"/>
      <name val="Comic Sans MS"/>
      <family val="4"/>
    </font>
    <font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vertAlign val="superscript"/>
      <sz val="8"/>
      <name val="Comic Sans MS"/>
      <family val="4"/>
    </font>
    <font>
      <u val="single"/>
      <sz val="12"/>
      <name val="Comic Sans MS"/>
      <family val="4"/>
    </font>
    <font>
      <sz val="12"/>
      <name val="Times New Roman"/>
      <family val="1"/>
    </font>
    <font>
      <u val="single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3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0" fillId="0" borderId="0" xfId="21" applyNumberFormat="1" applyAlignment="1">
      <alignment/>
    </xf>
    <xf numFmtId="43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9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0" fontId="0" fillId="0" borderId="7" xfId="21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0" fontId="0" fillId="0" borderId="0" xfId="21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/>
    </xf>
    <xf numFmtId="170" fontId="1" fillId="0" borderId="0" xfId="15" applyNumberFormat="1" applyFont="1" applyAlignment="1">
      <alignment/>
    </xf>
    <xf numFmtId="170" fontId="1" fillId="2" borderId="9" xfId="15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3" borderId="0" xfId="0" applyFont="1" applyFill="1" applyBorder="1" applyAlignment="1" quotePrefix="1">
      <alignment vertical="top"/>
    </xf>
    <xf numFmtId="0" fontId="3" fillId="0" borderId="0" xfId="0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41" fontId="3" fillId="3" borderId="0" xfId="0" applyNumberFormat="1" applyFont="1" applyFill="1" applyBorder="1" applyAlignment="1" quotePrefix="1">
      <alignment vertical="top"/>
    </xf>
    <xf numFmtId="41" fontId="3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1" fontId="0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6" fontId="0" fillId="0" borderId="0" xfId="0" applyNumberFormat="1" applyAlignment="1">
      <alignment/>
    </xf>
    <xf numFmtId="0" fontId="4" fillId="0" borderId="0" xfId="0" applyFont="1" applyAlignment="1">
      <alignment/>
    </xf>
    <xf numFmtId="41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41" fontId="3" fillId="2" borderId="4" xfId="0" applyNumberFormat="1" applyFont="1" applyFill="1" applyBorder="1" applyAlignment="1" quotePrefix="1">
      <alignment vertical="top"/>
    </xf>
    <xf numFmtId="41" fontId="3" fillId="0" borderId="4" xfId="0" applyNumberFormat="1" applyFont="1" applyBorder="1" applyAlignment="1">
      <alignment/>
    </xf>
    <xf numFmtId="37" fontId="0" fillId="0" borderId="4" xfId="0" applyNumberFormat="1" applyFont="1" applyBorder="1" applyAlignment="1">
      <alignment horizontal="center"/>
    </xf>
    <xf numFmtId="37" fontId="0" fillId="0" borderId="4" xfId="0" applyNumberFormat="1" applyFont="1" applyFill="1" applyBorder="1" applyAlignment="1">
      <alignment horizontal="center"/>
    </xf>
    <xf numFmtId="37" fontId="11" fillId="0" borderId="4" xfId="0" applyNumberFormat="1" applyFont="1" applyBorder="1" applyAlignment="1">
      <alignment horizontal="center"/>
    </xf>
    <xf numFmtId="37" fontId="0" fillId="0" borderId="5" xfId="0" applyNumberFormat="1" applyFont="1" applyBorder="1" applyAlignment="1">
      <alignment horizontal="center"/>
    </xf>
    <xf numFmtId="37" fontId="0" fillId="0" borderId="5" xfId="0" applyNumberFormat="1" applyFont="1" applyFill="1" applyBorder="1" applyAlignment="1">
      <alignment horizontal="center"/>
    </xf>
    <xf numFmtId="37" fontId="11" fillId="0" borderId="5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1" fillId="0" borderId="6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 horizontal="center"/>
    </xf>
    <xf numFmtId="41" fontId="26" fillId="0" borderId="0" xfId="0" applyNumberFormat="1" applyFont="1" applyAlignment="1">
      <alignment/>
    </xf>
    <xf numFmtId="41" fontId="26" fillId="0" borderId="7" xfId="0" applyNumberFormat="1" applyFont="1" applyBorder="1" applyAlignment="1">
      <alignment/>
    </xf>
    <xf numFmtId="41" fontId="26" fillId="0" borderId="4" xfId="0" applyNumberFormat="1" applyFont="1" applyBorder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37" fontId="0" fillId="0" borderId="0" xfId="0" applyNumberFormat="1" applyFont="1" applyFill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170" fontId="0" fillId="4" borderId="9" xfId="0" applyNumberFormat="1" applyFill="1" applyBorder="1" applyAlignment="1">
      <alignment/>
    </xf>
    <xf numFmtId="167" fontId="0" fillId="4" borderId="0" xfId="0" applyNumberFormat="1" applyFill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/>
    </xf>
    <xf numFmtId="42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7"/>
    </xf>
    <xf numFmtId="0" fontId="0" fillId="0" borderId="0" xfId="0" applyAlignment="1" quotePrefix="1">
      <alignment horizontal="left"/>
    </xf>
    <xf numFmtId="167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41" fontId="0" fillId="0" borderId="0" xfId="0" applyNumberFormat="1" applyFont="1" applyAlignment="1">
      <alignment horizontal="center"/>
    </xf>
    <xf numFmtId="41" fontId="3" fillId="3" borderId="0" xfId="0" applyNumberFormat="1" applyFont="1" applyFill="1" applyBorder="1" applyAlignment="1" quotePrefix="1">
      <alignment horizontal="left" vertical="top"/>
    </xf>
    <xf numFmtId="37" fontId="11" fillId="0" borderId="6" xfId="0" applyNumberFormat="1" applyFont="1" applyBorder="1" applyAlignment="1">
      <alignment horizontal="center"/>
    </xf>
    <xf numFmtId="37" fontId="1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13" fillId="0" borderId="5" xfId="0" applyFont="1" applyBorder="1" applyAlignment="1">
      <alignment/>
    </xf>
    <xf numFmtId="0" fontId="0" fillId="0" borderId="5" xfId="0" applyFont="1" applyBorder="1" applyAlignment="1">
      <alignment/>
    </xf>
    <xf numFmtId="37" fontId="24" fillId="0" borderId="6" xfId="0" applyNumberFormat="1" applyFont="1" applyBorder="1" applyAlignment="1">
      <alignment horizontal="center"/>
    </xf>
    <xf numFmtId="37" fontId="24" fillId="0" borderId="8" xfId="0" applyNumberFormat="1" applyFont="1" applyBorder="1" applyAlignment="1">
      <alignment horizontal="center"/>
    </xf>
    <xf numFmtId="210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176" fontId="1" fillId="0" borderId="0" xfId="17" applyNumberFormat="1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1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/>
    </xf>
    <xf numFmtId="41" fontId="26" fillId="0" borderId="0" xfId="0" applyNumberFormat="1" applyFont="1" applyBorder="1" applyAlignment="1">
      <alignment/>
    </xf>
    <xf numFmtId="42" fontId="28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wrapText="1"/>
    </xf>
    <xf numFmtId="41" fontId="0" fillId="0" borderId="12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0" fillId="0" borderId="0" xfId="21" applyNumberFormat="1" applyAlignment="1">
      <alignment/>
    </xf>
    <xf numFmtId="164" fontId="0" fillId="0" borderId="0" xfId="0" applyNumberFormat="1" applyAlignment="1">
      <alignment/>
    </xf>
    <xf numFmtId="37" fontId="11" fillId="0" borderId="8" xfId="0" applyNumberFormat="1" applyFont="1" applyBorder="1" applyAlignment="1">
      <alignment horizontal="center"/>
    </xf>
    <xf numFmtId="210" fontId="1" fillId="0" borderId="0" xfId="0" applyNumberFormat="1" applyFont="1" applyAlignment="1">
      <alignment horizontal="center"/>
    </xf>
    <xf numFmtId="210" fontId="2" fillId="0" borderId="0" xfId="0" applyNumberFormat="1" applyFont="1" applyAlignment="1">
      <alignment horizontal="center"/>
    </xf>
    <xf numFmtId="210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257175</xdr:colOff>
      <xdr:row>6</xdr:row>
      <xdr:rowOff>133350</xdr:rowOff>
    </xdr:from>
    <xdr:to>
      <xdr:col>27</xdr:col>
      <xdr:colOff>333375</xdr:colOff>
      <xdr:row>8</xdr:row>
      <xdr:rowOff>85725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534025" y="1466850"/>
          <a:ext cx="4953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Source: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2005 - 2030--Florida Demographic Estimating Conference, February 2004; 2035--extrapolation from 2030 based on decelerating growth rates.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15</xdr:row>
      <xdr:rowOff>95250</xdr:rowOff>
    </xdr:from>
    <xdr:to>
      <xdr:col>13</xdr:col>
      <xdr:colOff>161925</xdr:colOff>
      <xdr:row>34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" y="2867025"/>
          <a:ext cx="7629525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(1)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Total debt service between 2005 and 2034 on state bonds to provide $2.638 billion in infrastructure costs.  Infrastructure costs based on FB's proposal plus $327 million added by Authority for impacts of contingent and excluded items.  State Tax Exempt Bonds:  30-years w/ level debt service, 5.5751% aggregate interest rate, COI = 1% of par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(2)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Total debt service between 2008 and 2034 on state bonds to provide $7.18 billion in infrastructure costs. Infrastructure costs from consultant estimate based on I-95 route,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 2002 dollars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(See 6/22 REC presentation, p. 3, by Tom Biggs).  Includes $280m for  ROW.   State Tax Exempt Bonds:  30-years w/ level debt service, 6% aggregate interest rate, COI = 1% of par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(3)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Total debt service between 2018 and 2034 on state bonds to provide $4.35 billion in infrastructure costs.  Infrastructure costs based on Phase 1 costs increased proportional to phase miles.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Reduced by 25%.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State Tax Exempt Bonds:  30-years w/ level debt service, 6% aggregate interest rate, COI = 1% of par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(4)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"Infrastructure" means "capital" (construction of path, stations, rail, fencing, noise walls, etc.), right-of-way, environmental mitigation, etc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"Equipment" means trainsets and other capital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(6)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Total debt service between 2010 and 2034 from FB Financial Plan presented to FIEC, June 22, 2004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(7)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Total debt service between 2013 and 2034 based on the Authority's equipment estimate, Orlando-Miami Planning Study in 2002 dollars.  Amount and pattern of debt service based on Phase 1 plan, scaled up proportional to increased equipment costs.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(8)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Total debt service for the period based on Phase 2 costs decreased proportional to phase miles.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(9)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Costs of non-routine maintenance and replacement &amp; refurbishment over 30 years (track replacement, stations, rolling stock, etc).   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(10)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FB Finance Plan, presented to FIEC, June 22, 2004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(11)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Phase 1 costs increased proportional to phase miles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(12)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Phase 1 costs increased proportional to phase miles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(13)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From FB plan presented to FIEC, June 22, 2004.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(14)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Phase 1 costs increased proportional to phase miles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(15)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Phase1 costs increased proportional to phase miles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85725</xdr:rowOff>
    </xdr:from>
    <xdr:to>
      <xdr:col>6</xdr:col>
      <xdr:colOff>685800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886075"/>
          <a:ext cx="2895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(1)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FB estimates provided to FIEC, June 22, 2004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(2)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Phase 1 revenues increased proportional to phase miles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(3)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HNTB revised revenues (see October 17, 2003 memo from PFM, page 3), adjusted downward by approximately 25% to reflect analysis by DEBT consultant)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(4)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HNTB adjusted revenues (see note (3)) increased proportional to phase miles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selection activeCell="A1" sqref="A1:O14"/>
    </sheetView>
  </sheetViews>
  <sheetFormatPr defaultColWidth="9.140625" defaultRowHeight="12.75" outlineLevelCol="1"/>
  <cols>
    <col min="1" max="1" width="14.8515625" style="10" customWidth="1"/>
    <col min="2" max="2" width="1.1484375" style="0" customWidth="1"/>
    <col min="3" max="3" width="9.00390625" style="0" hidden="1" customWidth="1" outlineLevel="1"/>
    <col min="4" max="4" width="10.57421875" style="0" hidden="1" customWidth="1" outlineLevel="1"/>
    <col min="5" max="5" width="8.57421875" style="0" customWidth="1" collapsed="1"/>
    <col min="6" max="6" width="1.57421875" style="0" customWidth="1"/>
    <col min="7" max="7" width="9.00390625" style="0" customWidth="1" outlineLevel="1"/>
    <col min="8" max="8" width="9.00390625" style="0" customWidth="1"/>
    <col min="9" max="9" width="8.8515625" style="0" hidden="1" customWidth="1"/>
    <col min="10" max="10" width="1.7109375" style="0" customWidth="1"/>
    <col min="11" max="12" width="9.00390625" style="0" customWidth="1"/>
    <col min="13" max="13" width="9.28125" style="0" hidden="1" customWidth="1"/>
    <col min="14" max="14" width="2.00390625" style="0" customWidth="1"/>
    <col min="16" max="16" width="1.7109375" style="0" customWidth="1"/>
    <col min="17" max="17" width="1.7109375" style="0" hidden="1" customWidth="1"/>
    <col min="18" max="18" width="0.13671875" style="0" customWidth="1"/>
    <col min="19" max="19" width="2.28125" style="0" customWidth="1"/>
  </cols>
  <sheetData>
    <row r="1" spans="1:34" ht="24.75" customHeight="1">
      <c r="A1" s="172" t="s">
        <v>145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T1" s="172" t="s">
        <v>147</v>
      </c>
      <c r="U1" s="172"/>
      <c r="V1" s="172"/>
      <c r="W1" s="172"/>
      <c r="X1" s="172"/>
      <c r="Y1" s="172"/>
      <c r="Z1" s="172"/>
      <c r="AA1" s="172"/>
      <c r="AB1" s="172"/>
      <c r="AC1" s="116"/>
      <c r="AD1" s="116"/>
      <c r="AE1" s="116"/>
      <c r="AF1" s="116"/>
      <c r="AG1" s="116"/>
      <c r="AH1" s="116"/>
    </row>
    <row r="2" spans="1:34" ht="15.75" customHeight="1">
      <c r="A2" s="172" t="s">
        <v>149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T2" s="172"/>
      <c r="U2" s="172"/>
      <c r="V2" s="172"/>
      <c r="W2" s="172"/>
      <c r="X2" s="172"/>
      <c r="Y2" s="172"/>
      <c r="Z2" s="172"/>
      <c r="AA2" s="172"/>
      <c r="AB2" s="172"/>
      <c r="AC2" s="116"/>
      <c r="AD2" s="116"/>
      <c r="AE2" s="116"/>
      <c r="AF2" s="116"/>
      <c r="AG2" s="116"/>
      <c r="AH2" s="116"/>
    </row>
    <row r="3" spans="1:34" ht="15.7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T3" s="172"/>
      <c r="U3" s="172"/>
      <c r="V3" s="172"/>
      <c r="W3" s="172"/>
      <c r="X3" s="172"/>
      <c r="Y3" s="172"/>
      <c r="Z3" s="172"/>
      <c r="AA3" s="172"/>
      <c r="AB3" s="172"/>
      <c r="AC3" s="116"/>
      <c r="AD3" s="116"/>
      <c r="AE3" s="116"/>
      <c r="AF3" s="116"/>
      <c r="AG3" s="116"/>
      <c r="AH3" s="116"/>
    </row>
    <row r="4" spans="1:28" ht="15.75" customHeight="1">
      <c r="A4" s="173" t="s">
        <v>83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U4" s="33">
        <v>2005</v>
      </c>
      <c r="V4" s="33">
        <v>2010</v>
      </c>
      <c r="W4" s="33">
        <v>2015</v>
      </c>
      <c r="X4" s="33">
        <v>2020</v>
      </c>
      <c r="Y4" s="33">
        <v>2025</v>
      </c>
      <c r="Z4" s="33">
        <v>2030</v>
      </c>
      <c r="AA4" s="33">
        <v>2035</v>
      </c>
      <c r="AB4" s="33" t="s">
        <v>139</v>
      </c>
    </row>
    <row r="5" spans="1:28" ht="15.75" customHeight="1">
      <c r="A5" s="60"/>
      <c r="B5" s="60"/>
      <c r="C5" s="60"/>
      <c r="D5" s="60"/>
      <c r="E5" s="60"/>
      <c r="F5" s="60"/>
      <c r="G5" s="56"/>
      <c r="H5" s="60"/>
      <c r="I5" s="43"/>
      <c r="T5" s="1" t="s">
        <v>143</v>
      </c>
      <c r="U5" s="146">
        <v>7.054245</v>
      </c>
      <c r="V5" s="146">
        <v>7.712695</v>
      </c>
      <c r="W5" s="146">
        <v>8.36118</v>
      </c>
      <c r="X5" s="146">
        <v>8.999389</v>
      </c>
      <c r="Y5" s="146">
        <v>9.61153</v>
      </c>
      <c r="Z5" s="146">
        <v>10.174753</v>
      </c>
      <c r="AA5" s="146">
        <f>Z5*(1+AA6)</f>
        <v>10.66923259605787</v>
      </c>
      <c r="AB5" s="167">
        <f>AVERAGE(U5:AA5)</f>
        <v>8.940432085151127</v>
      </c>
    </row>
    <row r="6" spans="1:27" ht="17.25" customHeight="1">
      <c r="A6" s="61"/>
      <c r="B6" s="56"/>
      <c r="C6" s="175" t="s">
        <v>141</v>
      </c>
      <c r="D6" s="175"/>
      <c r="E6" s="175"/>
      <c r="F6" s="56"/>
      <c r="G6" s="177" t="s">
        <v>1</v>
      </c>
      <c r="H6" s="177"/>
      <c r="I6" s="177"/>
      <c r="K6" s="177" t="s">
        <v>88</v>
      </c>
      <c r="L6" s="177"/>
      <c r="M6" s="177"/>
      <c r="T6" s="1" t="s">
        <v>144</v>
      </c>
      <c r="V6" s="37">
        <f>V5/U5-1</f>
        <v>0.09334095994681224</v>
      </c>
      <c r="W6" s="37">
        <f>W5/V5-1</f>
        <v>0.0840802080206724</v>
      </c>
      <c r="X6" s="37">
        <f>X5/W5-1</f>
        <v>0.07633001561980501</v>
      </c>
      <c r="Y6" s="37">
        <f>Y5/X5-1</f>
        <v>0.0680202844882023</v>
      </c>
      <c r="Z6" s="37">
        <f>Z5/Y5-1</f>
        <v>0.05859868304005711</v>
      </c>
      <c r="AA6" s="37">
        <f>Z6-0.01</f>
        <v>0.04859868304005711</v>
      </c>
    </row>
    <row r="7" spans="1:15" s="65" customFormat="1" ht="15.75">
      <c r="A7" s="63" t="s">
        <v>47</v>
      </c>
      <c r="B7" s="63"/>
      <c r="C7" s="72" t="s">
        <v>22</v>
      </c>
      <c r="D7" s="73" t="s">
        <v>56</v>
      </c>
      <c r="E7" s="156" t="s">
        <v>46</v>
      </c>
      <c r="F7" s="64"/>
      <c r="G7" s="139" t="s">
        <v>114</v>
      </c>
      <c r="H7" s="140" t="s">
        <v>115</v>
      </c>
      <c r="I7" s="140" t="s">
        <v>129</v>
      </c>
      <c r="K7" s="139" t="s">
        <v>115</v>
      </c>
      <c r="L7" s="140" t="s">
        <v>114</v>
      </c>
      <c r="M7" s="140" t="s">
        <v>129</v>
      </c>
      <c r="O7" s="63" t="s">
        <v>84</v>
      </c>
    </row>
    <row r="8" spans="1:15" ht="12.75">
      <c r="A8" s="54"/>
      <c r="B8" s="62"/>
      <c r="C8" s="100"/>
      <c r="D8" s="106"/>
      <c r="E8" s="157"/>
      <c r="F8" s="57"/>
      <c r="G8" s="75"/>
      <c r="H8" s="103"/>
      <c r="I8" s="141"/>
      <c r="K8" s="35"/>
      <c r="L8" s="141"/>
      <c r="M8" s="141"/>
      <c r="O8" s="106"/>
    </row>
    <row r="9" spans="1:15" s="45" customFormat="1" ht="15">
      <c r="A9" s="56">
        <v>1</v>
      </c>
      <c r="B9"/>
      <c r="C9" s="101">
        <f>'Summ-Outlays'!M9</f>
        <v>8191.688712499999</v>
      </c>
      <c r="D9" s="118"/>
      <c r="E9" s="158">
        <f>D9+C9</f>
        <v>8191.688712499999</v>
      </c>
      <c r="F9"/>
      <c r="G9" s="100">
        <f>'Summ-Op Revenues'!C9</f>
        <v>3741.8599999999997</v>
      </c>
      <c r="H9" s="103">
        <f>'Summ-Op Revenues'!E9</f>
        <v>2222.911390935283</v>
      </c>
      <c r="I9" s="103">
        <f>'Summ-Op Revenues'!G9</f>
        <v>2982.385695467641</v>
      </c>
      <c r="K9" s="100">
        <f>-(G9-$E9)</f>
        <v>4449.8287125</v>
      </c>
      <c r="L9" s="103">
        <f>-(H9-$E9)</f>
        <v>5968.777321564716</v>
      </c>
      <c r="M9" s="103">
        <f>-(I9-$E9)</f>
        <v>5209.303017032358</v>
      </c>
      <c r="O9" s="106">
        <v>84</v>
      </c>
    </row>
    <row r="10" spans="1:15" s="46" customFormat="1" ht="9" customHeight="1">
      <c r="A10" s="56"/>
      <c r="B10" s="67"/>
      <c r="C10" s="101"/>
      <c r="D10" s="118"/>
      <c r="E10" s="159"/>
      <c r="F10"/>
      <c r="G10" s="100"/>
      <c r="H10" s="103"/>
      <c r="I10" s="143"/>
      <c r="K10" s="100"/>
      <c r="L10" s="103"/>
      <c r="M10" s="103"/>
      <c r="O10" s="106"/>
    </row>
    <row r="11" spans="1:15" s="45" customFormat="1" ht="15">
      <c r="A11" s="56">
        <v>2</v>
      </c>
      <c r="B11"/>
      <c r="C11" s="101">
        <f>'Summ-Outlays'!M11</f>
        <v>18315.11391904762</v>
      </c>
      <c r="D11" s="118"/>
      <c r="E11" s="158">
        <f>D11+C11</f>
        <v>18315.11391904762</v>
      </c>
      <c r="F11"/>
      <c r="G11" s="100">
        <f>'Summ-Op Revenues'!C11</f>
        <v>7953.908571428572</v>
      </c>
      <c r="H11" s="103">
        <f>'Summ-Op Revenues'!E11</f>
        <v>4852.463490304032</v>
      </c>
      <c r="I11" s="103">
        <f>'Summ-Op Revenues'!G11</f>
        <v>6403.186030866302</v>
      </c>
      <c r="K11" s="100">
        <f>-(G11-$E11)</f>
        <v>10361.205347619049</v>
      </c>
      <c r="L11" s="103">
        <f>-(H11-$E11)</f>
        <v>13462.65042874359</v>
      </c>
      <c r="M11" s="103">
        <f>-(I11-$E11)</f>
        <v>11911.927888181319</v>
      </c>
      <c r="O11" s="106">
        <v>226</v>
      </c>
    </row>
    <row r="12" spans="1:15" s="45" customFormat="1" ht="9" customHeight="1">
      <c r="A12" s="56"/>
      <c r="B12" s="67"/>
      <c r="C12" s="100"/>
      <c r="D12" s="106"/>
      <c r="E12" s="159"/>
      <c r="F12"/>
      <c r="G12" s="100"/>
      <c r="H12" s="103"/>
      <c r="I12" s="142"/>
      <c r="K12" s="100"/>
      <c r="L12" s="103"/>
      <c r="M12" s="103"/>
      <c r="O12" s="106"/>
    </row>
    <row r="13" spans="1:15" s="45" customFormat="1" ht="17.25">
      <c r="A13" s="170" t="s">
        <v>152</v>
      </c>
      <c r="B13"/>
      <c r="C13" s="137">
        <f>'Summ-Outlays'!M13</f>
        <v>7385.334552756207</v>
      </c>
      <c r="D13" s="138"/>
      <c r="E13" s="160">
        <f>D13+C13</f>
        <v>7385.334552756207</v>
      </c>
      <c r="F13"/>
      <c r="G13" s="137">
        <f>'Summ-Op Revenues'!C13</f>
        <v>2536.98869047619</v>
      </c>
      <c r="H13" s="164">
        <f>'Op Cash Flow Ph 1'!S48</f>
        <v>1676.7934966637608</v>
      </c>
      <c r="I13" s="145">
        <f>'Summ-Op Revenues'!G13</f>
        <v>2106.8910935699755</v>
      </c>
      <c r="K13" s="144">
        <f>-(G13-$E13)</f>
        <v>4848.345862280017</v>
      </c>
      <c r="L13" s="145">
        <f>-(H13-$E13)</f>
        <v>5708.5410560924465</v>
      </c>
      <c r="M13" s="145">
        <f>-(I13-$E13)</f>
        <v>5278.443459186232</v>
      </c>
      <c r="O13" s="107">
        <f>135+50</f>
        <v>185</v>
      </c>
    </row>
    <row r="14" spans="1:15" s="53" customFormat="1" ht="15.75">
      <c r="A14" s="58" t="s">
        <v>46</v>
      </c>
      <c r="B14" s="1"/>
      <c r="C14" s="119">
        <f>SUM(C9:C13)</f>
        <v>33892.13718430383</v>
      </c>
      <c r="D14" s="119">
        <f>SUM(D9:D13)</f>
        <v>0</v>
      </c>
      <c r="E14" s="119">
        <f>SUM(E9:E13)</f>
        <v>33892.13718430383</v>
      </c>
      <c r="F14" s="111"/>
      <c r="G14" s="114">
        <f>SUM(G9:G13)</f>
        <v>14232.757261904762</v>
      </c>
      <c r="H14" s="114">
        <f>SUM(H9:H13)</f>
        <v>8752.168377903075</v>
      </c>
      <c r="I14" s="114">
        <f>SUM(I9:I13)</f>
        <v>11492.462819903918</v>
      </c>
      <c r="K14" s="119">
        <f>SUM(K9:K13)</f>
        <v>19659.379922399065</v>
      </c>
      <c r="L14" s="119">
        <f>SUM(L9:L13)</f>
        <v>25139.968806400753</v>
      </c>
      <c r="M14" s="119">
        <f>SUM(M9:M13)</f>
        <v>22399.674364399907</v>
      </c>
      <c r="O14" s="114">
        <f>SUM(O9:O13)</f>
        <v>495</v>
      </c>
    </row>
    <row r="15" spans="1:8" ht="12.75">
      <c r="A15" s="59"/>
      <c r="B15" s="46"/>
      <c r="C15" s="55"/>
      <c r="D15" s="55"/>
      <c r="E15" s="135"/>
      <c r="F15" s="55"/>
      <c r="G15" s="55"/>
      <c r="H15" s="55"/>
    </row>
    <row r="16" spans="1:13" ht="12.75">
      <c r="A16" s="59"/>
      <c r="B16" s="46"/>
      <c r="C16" s="55"/>
      <c r="D16" s="55"/>
      <c r="E16" s="55"/>
      <c r="F16" s="147" t="s">
        <v>135</v>
      </c>
      <c r="K16" s="148">
        <f>K14/AB5</f>
        <v>2198.929507562693</v>
      </c>
      <c r="L16" s="148">
        <f>L14/AB5</f>
        <v>2811.9411418777972</v>
      </c>
      <c r="M16" s="148"/>
    </row>
    <row r="17" spans="1:13" ht="12.75">
      <c r="A17" s="59"/>
      <c r="B17" s="46"/>
      <c r="C17" s="55"/>
      <c r="D17" s="55"/>
      <c r="E17" s="55"/>
      <c r="F17" s="55"/>
      <c r="G17" s="55"/>
      <c r="H17" s="55"/>
      <c r="K17" s="149"/>
      <c r="L17" s="149"/>
      <c r="M17" s="149"/>
    </row>
    <row r="18" spans="8:22" ht="18">
      <c r="H18" s="55"/>
      <c r="K18" s="149"/>
      <c r="L18" s="149"/>
      <c r="M18" s="149"/>
      <c r="O18" s="174"/>
      <c r="P18" s="174"/>
      <c r="Q18" s="174"/>
      <c r="R18" s="174"/>
      <c r="S18" s="174"/>
      <c r="T18" s="174"/>
      <c r="U18" s="174"/>
      <c r="V18" s="174"/>
    </row>
    <row r="19" spans="8:22" ht="18">
      <c r="H19" s="55"/>
      <c r="K19" s="149"/>
      <c r="L19" s="149"/>
      <c r="M19" s="149"/>
      <c r="O19" s="174"/>
      <c r="P19" s="174"/>
      <c r="Q19" s="174"/>
      <c r="R19" s="174"/>
      <c r="S19" s="174"/>
      <c r="T19" s="174"/>
      <c r="U19" s="174"/>
      <c r="V19" s="174"/>
    </row>
    <row r="20" spans="15:22" ht="15.75">
      <c r="O20" s="176"/>
      <c r="P20" s="176"/>
      <c r="Q20" s="176"/>
      <c r="R20" s="176"/>
      <c r="S20" s="176"/>
      <c r="T20" s="176"/>
      <c r="U20" s="176"/>
      <c r="V20" s="176"/>
    </row>
    <row r="21" spans="15:22" ht="12.75">
      <c r="O21" s="10"/>
      <c r="P21" s="46"/>
      <c r="T21" s="33"/>
      <c r="U21" s="166"/>
      <c r="V21" s="33"/>
    </row>
    <row r="22" spans="15:21" ht="12.75">
      <c r="O22" s="150"/>
      <c r="P22" s="46"/>
      <c r="Q22" s="55"/>
      <c r="U22" s="37"/>
    </row>
    <row r="23" spans="8:21" ht="12.75">
      <c r="H23" s="55"/>
      <c r="O23" s="150"/>
      <c r="P23" s="46"/>
      <c r="Q23" s="55"/>
      <c r="R23" s="55"/>
      <c r="S23" s="55"/>
      <c r="U23" s="55"/>
    </row>
    <row r="24" spans="8:21" ht="12.75">
      <c r="H24" s="55"/>
      <c r="O24" s="150"/>
      <c r="P24" s="46"/>
      <c r="Q24" s="55"/>
      <c r="R24" s="55"/>
      <c r="S24" s="55"/>
      <c r="U24" s="55"/>
    </row>
    <row r="25" spans="8:21" ht="12.75">
      <c r="H25" s="55"/>
      <c r="O25" s="150"/>
      <c r="P25" s="46"/>
      <c r="Q25" s="55"/>
      <c r="R25" s="55"/>
      <c r="S25" s="55"/>
      <c r="U25" s="55"/>
    </row>
    <row r="26" spans="8:21" ht="12.75">
      <c r="H26" s="55"/>
      <c r="O26" s="150"/>
      <c r="P26" s="46"/>
      <c r="Q26" s="55"/>
      <c r="R26" s="55"/>
      <c r="S26" s="55"/>
      <c r="U26" s="55"/>
    </row>
    <row r="27" spans="8:21" ht="12.75">
      <c r="H27" s="55"/>
      <c r="O27" s="150"/>
      <c r="P27" s="46"/>
      <c r="Q27" s="55"/>
      <c r="R27" s="55"/>
      <c r="S27" s="55"/>
      <c r="U27" s="55"/>
    </row>
    <row r="28" spans="8:21" ht="12.75">
      <c r="H28" s="55"/>
      <c r="O28" s="150"/>
      <c r="P28" s="46"/>
      <c r="Q28" s="55"/>
      <c r="R28" s="55"/>
      <c r="S28" s="55"/>
      <c r="U28" s="55"/>
    </row>
    <row r="29" spans="8:22" ht="12.75">
      <c r="H29" s="55"/>
      <c r="O29" s="58"/>
      <c r="P29" s="46"/>
      <c r="Q29" s="55"/>
      <c r="R29" s="55"/>
      <c r="S29" s="55"/>
      <c r="T29" s="165"/>
      <c r="U29" s="55"/>
      <c r="V29" s="55"/>
    </row>
    <row r="30" spans="8:22" ht="12.75">
      <c r="H30" s="55"/>
      <c r="O30" s="59"/>
      <c r="P30" s="46"/>
      <c r="Q30" s="55"/>
      <c r="R30" s="55"/>
      <c r="S30" s="55"/>
      <c r="T30" s="55"/>
      <c r="U30" s="55"/>
      <c r="V30" s="55"/>
    </row>
    <row r="31" spans="8:22" ht="12.75">
      <c r="H31" s="55"/>
      <c r="O31" s="59"/>
      <c r="P31" s="46"/>
      <c r="Q31" s="55"/>
      <c r="R31" s="55"/>
      <c r="S31" s="55"/>
      <c r="T31" s="55"/>
      <c r="U31" s="55"/>
      <c r="V31" s="55"/>
    </row>
    <row r="32" spans="8:22" ht="12.75">
      <c r="H32" s="55"/>
      <c r="O32" s="59"/>
      <c r="P32" s="46"/>
      <c r="Q32" s="55"/>
      <c r="R32" s="55"/>
      <c r="S32" s="55"/>
      <c r="T32" s="55"/>
      <c r="U32" s="55"/>
      <c r="V32" s="55"/>
    </row>
    <row r="33" spans="8:22" ht="12.75">
      <c r="H33" s="55"/>
      <c r="O33" s="59"/>
      <c r="P33" s="46"/>
      <c r="Q33" s="55"/>
      <c r="R33" s="55"/>
      <c r="S33" s="55"/>
      <c r="T33" s="55"/>
      <c r="U33" s="55"/>
      <c r="V33" s="55"/>
    </row>
    <row r="34" spans="8:22" ht="12.75">
      <c r="H34" s="55"/>
      <c r="O34" s="59"/>
      <c r="P34" s="46"/>
      <c r="Q34" s="55"/>
      <c r="R34" s="55"/>
      <c r="S34" s="55"/>
      <c r="T34" s="55"/>
      <c r="U34" s="55"/>
      <c r="V34" s="55"/>
    </row>
    <row r="35" spans="1:8" ht="12.75">
      <c r="A35" s="59"/>
      <c r="B35" s="46"/>
      <c r="C35" s="55"/>
      <c r="D35" s="55"/>
      <c r="E35" s="55"/>
      <c r="F35" s="55"/>
      <c r="G35" s="55"/>
      <c r="H35" s="55"/>
    </row>
    <row r="36" spans="1:8" ht="12.75">
      <c r="A36" s="59"/>
      <c r="B36" s="46"/>
      <c r="C36" s="55"/>
      <c r="D36" s="55"/>
      <c r="E36" s="55"/>
      <c r="F36" s="55"/>
      <c r="G36" s="55"/>
      <c r="H36" s="55"/>
    </row>
    <row r="37" spans="1:8" ht="12.75">
      <c r="A37" s="59"/>
      <c r="B37" s="46"/>
      <c r="C37" s="55"/>
      <c r="D37" s="55"/>
      <c r="E37" s="55"/>
      <c r="F37" s="55"/>
      <c r="G37" s="55"/>
      <c r="H37" s="55"/>
    </row>
    <row r="38" s="47" customFormat="1" ht="20.25" customHeight="1"/>
    <row r="39" s="47" customFormat="1" ht="13.5" customHeight="1"/>
    <row r="40" s="47" customFormat="1" ht="12.75" customHeight="1"/>
    <row r="41" ht="12" customHeight="1"/>
    <row r="45" ht="12.75">
      <c r="A45" s="48"/>
    </row>
  </sheetData>
  <mergeCells count="10">
    <mergeCell ref="O19:V19"/>
    <mergeCell ref="O20:V20"/>
    <mergeCell ref="K6:M6"/>
    <mergeCell ref="G6:I6"/>
    <mergeCell ref="A1:O1"/>
    <mergeCell ref="A2:O3"/>
    <mergeCell ref="A4:O4"/>
    <mergeCell ref="O18:V18"/>
    <mergeCell ref="C6:E6"/>
    <mergeCell ref="T1:AB3"/>
  </mergeCells>
  <printOptions horizontalCentered="1"/>
  <pageMargins left="0.56" right="0.31" top="0.64" bottom="0" header="0.3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0" sqref="A10"/>
    </sheetView>
  </sheetViews>
  <sheetFormatPr defaultColWidth="9.140625" defaultRowHeight="12.75" outlineLevelCol="1"/>
  <cols>
    <col min="1" max="1" width="11.421875" style="10" customWidth="1"/>
    <col min="2" max="2" width="1.57421875" style="0" customWidth="1"/>
    <col min="3" max="3" width="15.8515625" style="0" customWidth="1"/>
    <col min="4" max="4" width="2.7109375" style="0" customWidth="1"/>
    <col min="5" max="5" width="13.421875" style="0" customWidth="1"/>
    <col min="6" max="6" width="3.28125" style="0" customWidth="1"/>
    <col min="7" max="7" width="15.28125" style="0" customWidth="1"/>
    <col min="8" max="8" width="10.7109375" style="0" customWidth="1" outlineLevel="1"/>
    <col min="9" max="9" width="3.8515625" style="0" customWidth="1"/>
    <col min="10" max="10" width="12.00390625" style="0" customWidth="1"/>
    <col min="11" max="11" width="11.28125" style="0" customWidth="1" outlineLevel="1"/>
    <col min="12" max="12" width="4.00390625" style="0" customWidth="1"/>
    <col min="13" max="13" width="13.140625" style="0" customWidth="1" outlineLevel="1"/>
    <col min="14" max="14" width="6.00390625" style="0" customWidth="1"/>
  </cols>
  <sheetData>
    <row r="1" spans="1:14" ht="18">
      <c r="A1" s="174" t="s">
        <v>146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5" ht="12.75" customHeight="1">
      <c r="A2" s="172" t="s">
        <v>150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42"/>
    </row>
    <row r="3" spans="1:15" ht="10.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42"/>
    </row>
    <row r="4" spans="1:15" ht="15.75" customHeight="1">
      <c r="A4" s="173" t="s">
        <v>83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42"/>
    </row>
    <row r="5" spans="1:15" ht="15.75" customHeight="1">
      <c r="A5" s="60"/>
      <c r="B5" s="60"/>
      <c r="C5" s="60"/>
      <c r="D5" s="60"/>
      <c r="E5" s="60"/>
      <c r="F5" s="60"/>
      <c r="G5" s="182" t="s">
        <v>75</v>
      </c>
      <c r="H5" s="182"/>
      <c r="I5" s="182"/>
      <c r="J5" s="182"/>
      <c r="K5" s="182"/>
      <c r="L5" s="56"/>
      <c r="M5" s="56"/>
      <c r="N5" s="60"/>
      <c r="O5" s="43"/>
    </row>
    <row r="6" spans="1:15" ht="26.25" customHeight="1">
      <c r="A6" s="61"/>
      <c r="B6" s="56"/>
      <c r="C6" s="183" t="s">
        <v>142</v>
      </c>
      <c r="D6" s="182"/>
      <c r="E6" s="182"/>
      <c r="F6" s="61"/>
      <c r="G6" s="178" t="s">
        <v>79</v>
      </c>
      <c r="H6" s="179"/>
      <c r="I6" s="76"/>
      <c r="J6" s="180" t="s">
        <v>50</v>
      </c>
      <c r="K6" s="181"/>
      <c r="L6" s="97"/>
      <c r="M6" s="115" t="s">
        <v>85</v>
      </c>
      <c r="N6" s="56"/>
      <c r="O6" s="44"/>
    </row>
    <row r="7" spans="1:14" s="65" customFormat="1" ht="15.75" customHeight="1">
      <c r="A7" s="63" t="s">
        <v>47</v>
      </c>
      <c r="B7" s="63"/>
      <c r="C7" s="72" t="s">
        <v>48</v>
      </c>
      <c r="D7" s="73"/>
      <c r="E7" s="74" t="s">
        <v>49</v>
      </c>
      <c r="F7" s="64"/>
      <c r="G7" s="77" t="s">
        <v>54</v>
      </c>
      <c r="H7" s="63" t="s">
        <v>55</v>
      </c>
      <c r="I7" s="63"/>
      <c r="J7" s="63" t="s">
        <v>54</v>
      </c>
      <c r="K7" s="78" t="s">
        <v>55</v>
      </c>
      <c r="L7" s="77"/>
      <c r="M7" s="63" t="s">
        <v>55</v>
      </c>
      <c r="N7" s="63" t="s">
        <v>84</v>
      </c>
    </row>
    <row r="8" spans="1:14" ht="12.75">
      <c r="A8" s="54"/>
      <c r="B8" s="62"/>
      <c r="C8" s="100"/>
      <c r="D8" s="57"/>
      <c r="E8" s="103"/>
      <c r="F8" s="57"/>
      <c r="G8" s="151"/>
      <c r="H8" s="152"/>
      <c r="I8" s="57"/>
      <c r="J8" s="151"/>
      <c r="K8" s="152"/>
      <c r="L8" s="75"/>
      <c r="M8" s="106"/>
      <c r="N8" s="106"/>
    </row>
    <row r="9" spans="1:16" s="45" customFormat="1" ht="15">
      <c r="A9" s="56">
        <v>1</v>
      </c>
      <c r="B9"/>
      <c r="C9" s="101">
        <f>'Debt Service'!D40/1000000</f>
        <v>5461.7487125</v>
      </c>
      <c r="D9" s="66" t="s">
        <v>51</v>
      </c>
      <c r="E9" s="104">
        <f>'Op Cash Flow Ph 1'!E48</f>
        <v>533.03</v>
      </c>
      <c r="F9" s="70" t="s">
        <v>76</v>
      </c>
      <c r="G9" s="101">
        <f>'Infrast Maint'!B63</f>
        <v>19.848000000000003</v>
      </c>
      <c r="H9" s="103">
        <f>'Infrast Maint'!B62</f>
        <v>496.2000000000001</v>
      </c>
      <c r="I9" s="136" t="s">
        <v>132</v>
      </c>
      <c r="J9" s="100">
        <f>'Op Cash Flow Ph 1'!D49</f>
        <v>68.02839999999999</v>
      </c>
      <c r="K9" s="103">
        <f>'Op Cash Flow Ph 1'!D48</f>
        <v>1700.7099999999998</v>
      </c>
      <c r="L9" s="98" t="s">
        <v>80</v>
      </c>
      <c r="M9" s="106">
        <f>C9+E9+H9+K9</f>
        <v>8191.688712499999</v>
      </c>
      <c r="N9" s="106">
        <v>84</v>
      </c>
      <c r="P9" s="45">
        <f>C9/N9</f>
        <v>65.02081800595238</v>
      </c>
    </row>
    <row r="10" spans="1:14" s="46" customFormat="1" ht="9" customHeight="1">
      <c r="A10" s="56"/>
      <c r="B10" s="67"/>
      <c r="C10" s="101"/>
      <c r="D10" s="68"/>
      <c r="E10" s="104"/>
      <c r="F10" s="71"/>
      <c r="G10" s="100"/>
      <c r="H10" s="103"/>
      <c r="I10" s="69"/>
      <c r="J10" s="100"/>
      <c r="K10" s="103"/>
      <c r="L10" s="99"/>
      <c r="M10" s="106"/>
      <c r="N10" s="106"/>
    </row>
    <row r="11" spans="1:16" s="45" customFormat="1" ht="15">
      <c r="A11" s="56">
        <v>2</v>
      </c>
      <c r="B11"/>
      <c r="C11" s="101">
        <f>'Debt Service'!D95/1000000</f>
        <v>12908.7513</v>
      </c>
      <c r="D11" s="66" t="s">
        <v>52</v>
      </c>
      <c r="E11" s="104">
        <f>'Op Cash Flow Ph 1'!U48</f>
        <v>471.73333333333323</v>
      </c>
      <c r="F11" s="70" t="s">
        <v>77</v>
      </c>
      <c r="G11" s="100">
        <f>'Infrast Maint'!C63</f>
        <v>50.47088744588745</v>
      </c>
      <c r="H11" s="103">
        <f>'Infrast Maint'!C62</f>
        <v>1110.3595238095238</v>
      </c>
      <c r="I11" s="70" t="s">
        <v>133</v>
      </c>
      <c r="J11" s="100">
        <f>'Op Cash Flow Ph 1'!L49</f>
        <v>173.83044372294376</v>
      </c>
      <c r="K11" s="103">
        <f>'Op Cash Flow Ph 1'!L48</f>
        <v>3824.2697619047626</v>
      </c>
      <c r="L11" s="98" t="s">
        <v>81</v>
      </c>
      <c r="M11" s="106">
        <f>C11+E11+H11+K11</f>
        <v>18315.11391904762</v>
      </c>
      <c r="N11" s="106">
        <v>226</v>
      </c>
      <c r="P11" s="45">
        <f>C11/N11</f>
        <v>57.118368584070794</v>
      </c>
    </row>
    <row r="12" spans="1:18" s="45" customFormat="1" ht="9" customHeight="1">
      <c r="A12" s="56"/>
      <c r="B12" s="67"/>
      <c r="C12" s="100"/>
      <c r="D12" s="69"/>
      <c r="E12" s="103"/>
      <c r="F12" s="71"/>
      <c r="G12" s="100"/>
      <c r="H12" s="103"/>
      <c r="I12" s="69"/>
      <c r="J12" s="100"/>
      <c r="K12" s="103"/>
      <c r="L12" s="99"/>
      <c r="M12" s="106"/>
      <c r="N12" s="106"/>
      <c r="R12" s="45">
        <f>J11/J9</f>
        <v>2.5552628567325377</v>
      </c>
    </row>
    <row r="13" spans="1:19" s="45" customFormat="1" ht="15">
      <c r="A13" s="170" t="s">
        <v>152</v>
      </c>
      <c r="B13"/>
      <c r="C13" s="102">
        <f>'State Bonds Ph 3-8'!E55</f>
        <v>5457.889173341383</v>
      </c>
      <c r="D13" s="66" t="s">
        <v>53</v>
      </c>
      <c r="E13" s="105">
        <f>'Op Cash Flow Ph 1'!V48</f>
        <v>79.33942703387147</v>
      </c>
      <c r="F13" s="70" t="s">
        <v>78</v>
      </c>
      <c r="G13" s="102">
        <f>'Infrast Maint'!D63</f>
        <v>35.54459325396826</v>
      </c>
      <c r="H13" s="105">
        <f>'Infrast Maint'!D62</f>
        <v>426.5351190476191</v>
      </c>
      <c r="I13" s="70" t="s">
        <v>134</v>
      </c>
      <c r="J13" s="102">
        <f>'Op Cash Flow Ph 1'!O49</f>
        <v>118.4642361111111</v>
      </c>
      <c r="K13" s="105">
        <f>'Op Cash Flow Ph 1'!O48</f>
        <v>1421.5708333333332</v>
      </c>
      <c r="L13" s="98" t="s">
        <v>82</v>
      </c>
      <c r="M13" s="107">
        <f>C13+E13+H13+K13</f>
        <v>7385.334552756207</v>
      </c>
      <c r="N13" s="107">
        <f>135+50</f>
        <v>185</v>
      </c>
      <c r="R13" s="45">
        <f>N11/N9</f>
        <v>2.6904761904761907</v>
      </c>
      <c r="S13" s="45">
        <f>R12/R13</f>
        <v>0.9497437166616511</v>
      </c>
    </row>
    <row r="14" spans="1:14" s="45" customFormat="1" ht="15">
      <c r="A14" s="58" t="s">
        <v>46</v>
      </c>
      <c r="B14" s="46"/>
      <c r="C14" s="108">
        <f>SUM(C9:C13)</f>
        <v>23828.389185841384</v>
      </c>
      <c r="D14" s="109"/>
      <c r="E14" s="110">
        <f>SUM(E9:E13)</f>
        <v>1084.1027603672046</v>
      </c>
      <c r="F14" s="111"/>
      <c r="G14" s="108">
        <f>SUM(G9:G13)</f>
        <v>105.86348069985571</v>
      </c>
      <c r="H14" s="110">
        <f>SUM(H9:H13)</f>
        <v>2033.0946428571428</v>
      </c>
      <c r="I14" s="112"/>
      <c r="J14" s="108">
        <f>SUM(J9:J13)</f>
        <v>360.32307983405485</v>
      </c>
      <c r="K14" s="110">
        <f>SUM(K9:K13)</f>
        <v>6946.550595238095</v>
      </c>
      <c r="L14" s="113"/>
      <c r="M14" s="114">
        <f>SUM(M9:M13)</f>
        <v>33892.13718430383</v>
      </c>
      <c r="N14" s="114">
        <f>SUM(N9:N13)</f>
        <v>495</v>
      </c>
    </row>
    <row r="15" spans="1:21" ht="12.75">
      <c r="A15" s="59"/>
      <c r="B15" s="4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S15">
        <f>J13/J11</f>
        <v>0.6814930317955294</v>
      </c>
      <c r="T15">
        <f>N13/N11</f>
        <v>0.8185840707964602</v>
      </c>
      <c r="U15">
        <f>S15/T15</f>
        <v>0.83252662262589</v>
      </c>
    </row>
    <row r="16" spans="1:14" ht="12.75">
      <c r="A16" s="59"/>
      <c r="B16" s="4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2.75">
      <c r="A17" s="59"/>
      <c r="B17" s="4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12.75">
      <c r="A18" s="59"/>
      <c r="B18" s="4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2.75">
      <c r="A19" s="59"/>
      <c r="B19" s="4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2.75">
      <c r="A20" s="59"/>
      <c r="B20" s="46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2.75">
      <c r="A21" s="59"/>
      <c r="B21" s="46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2.75">
      <c r="A22" s="59"/>
      <c r="B22" s="4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12.75">
      <c r="A23" s="59"/>
      <c r="B23" s="4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12.75">
      <c r="A24" s="59"/>
      <c r="B24" s="4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75">
      <c r="A25" s="59"/>
      <c r="B25" s="46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6" ht="12.75">
      <c r="A26" s="59"/>
      <c r="B26" s="4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P26">
        <f>324/20</f>
        <v>16.2</v>
      </c>
    </row>
    <row r="27" spans="1:14" ht="12.75">
      <c r="A27" s="59"/>
      <c r="B27" s="46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2.75">
      <c r="A28" s="59"/>
      <c r="B28" s="4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.75">
      <c r="A29" s="59"/>
      <c r="B29" s="4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.75">
      <c r="A30" s="59"/>
      <c r="B30" s="4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.75">
      <c r="A31" s="59"/>
      <c r="B31" s="4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2.75">
      <c r="A32" s="59"/>
      <c r="B32" s="46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.75">
      <c r="A33" s="59"/>
      <c r="B33" s="4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.75">
      <c r="A34" s="59"/>
      <c r="B34" s="4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="47" customFormat="1" ht="20.25" customHeight="1"/>
    <row r="36" s="47" customFormat="1" ht="13.5" customHeight="1"/>
    <row r="37" s="47" customFormat="1" ht="12.75" customHeight="1"/>
    <row r="38" ht="12" customHeight="1"/>
    <row r="42" ht="12.75">
      <c r="A42" s="48"/>
    </row>
  </sheetData>
  <mergeCells count="7">
    <mergeCell ref="A1:N1"/>
    <mergeCell ref="A2:N3"/>
    <mergeCell ref="G6:H6"/>
    <mergeCell ref="J6:K6"/>
    <mergeCell ref="G5:K5"/>
    <mergeCell ref="C6:E6"/>
    <mergeCell ref="A4:N4"/>
  </mergeCells>
  <printOptions horizontalCentered="1"/>
  <pageMargins left="0.3" right="0.49" top="0.69" bottom="0" header="0.3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F25" sqref="F25"/>
    </sheetView>
  </sheetViews>
  <sheetFormatPr defaultColWidth="9.140625" defaultRowHeight="12.75" outlineLevelCol="1"/>
  <cols>
    <col min="1" max="1" width="12.421875" style="10" customWidth="1"/>
    <col min="2" max="2" width="1.57421875" style="0" customWidth="1"/>
    <col min="3" max="3" width="13.28125" style="0" customWidth="1"/>
    <col min="4" max="4" width="3.00390625" style="0" customWidth="1"/>
    <col min="5" max="5" width="11.00390625" style="0" customWidth="1"/>
    <col min="6" max="6" width="3.421875" style="0" customWidth="1"/>
    <col min="7" max="7" width="12.140625" style="0" hidden="1" customWidth="1" outlineLevel="1"/>
    <col min="8" max="8" width="9.421875" style="0" customWidth="1" collapsed="1"/>
  </cols>
  <sheetData>
    <row r="1" spans="1:7" ht="18">
      <c r="A1" s="186" t="s">
        <v>148</v>
      </c>
      <c r="B1" s="186"/>
      <c r="C1" s="186"/>
      <c r="D1" s="186"/>
      <c r="E1" s="186"/>
      <c r="F1" s="186"/>
      <c r="G1" s="186"/>
    </row>
    <row r="2" spans="1:9" ht="12.75" customHeight="1">
      <c r="A2" s="184" t="s">
        <v>151</v>
      </c>
      <c r="B2" s="184"/>
      <c r="C2" s="184"/>
      <c r="D2" s="184"/>
      <c r="E2" s="184"/>
      <c r="F2" s="184"/>
      <c r="G2" s="184"/>
      <c r="H2" s="116"/>
      <c r="I2" s="42"/>
    </row>
    <row r="3" spans="1:9" ht="21.75" customHeight="1">
      <c r="A3" s="184"/>
      <c r="B3" s="184"/>
      <c r="C3" s="184"/>
      <c r="D3" s="184"/>
      <c r="E3" s="184"/>
      <c r="F3" s="184"/>
      <c r="G3" s="184"/>
      <c r="H3" s="116"/>
      <c r="I3" s="42"/>
    </row>
    <row r="4" spans="1:9" ht="15.75" customHeight="1">
      <c r="A4" s="185" t="s">
        <v>83</v>
      </c>
      <c r="B4" s="185"/>
      <c r="C4" s="185"/>
      <c r="D4" s="185"/>
      <c r="E4" s="185"/>
      <c r="F4" s="185"/>
      <c r="G4" s="185"/>
      <c r="H4" s="117"/>
      <c r="I4" s="42"/>
    </row>
    <row r="5" spans="1:9" ht="15.75" customHeight="1">
      <c r="A5" s="60"/>
      <c r="B5" s="60"/>
      <c r="C5" s="60"/>
      <c r="D5" s="60"/>
      <c r="E5" s="60"/>
      <c r="F5" s="60"/>
      <c r="G5" s="56"/>
      <c r="H5" s="60"/>
      <c r="I5" s="43"/>
    </row>
    <row r="6" spans="1:9" ht="17.25" customHeight="1">
      <c r="A6" s="61"/>
      <c r="B6" s="56"/>
      <c r="C6" s="182"/>
      <c r="D6" s="182"/>
      <c r="E6" s="182"/>
      <c r="F6" s="61"/>
      <c r="G6" s="115"/>
      <c r="H6" s="56"/>
      <c r="I6" s="44"/>
    </row>
    <row r="7" spans="1:8" s="65" customFormat="1" ht="15.75" customHeight="1">
      <c r="A7" s="63" t="s">
        <v>47</v>
      </c>
      <c r="B7" s="63"/>
      <c r="C7" s="64" t="s">
        <v>114</v>
      </c>
      <c r="D7" s="64"/>
      <c r="E7" s="64" t="s">
        <v>115</v>
      </c>
      <c r="F7" s="64"/>
      <c r="G7" s="63" t="s">
        <v>131</v>
      </c>
      <c r="H7" s="63"/>
    </row>
    <row r="8" spans="1:8" ht="12.75">
      <c r="A8" s="54"/>
      <c r="B8" s="62"/>
      <c r="C8" s="106"/>
      <c r="D8" s="57"/>
      <c r="E8" s="106"/>
      <c r="F8" s="57"/>
      <c r="G8" s="57"/>
      <c r="H8" s="106"/>
    </row>
    <row r="9" spans="1:8" s="45" customFormat="1" ht="15">
      <c r="A9" s="56">
        <v>1</v>
      </c>
      <c r="B9" s="36"/>
      <c r="C9" s="118">
        <f>'Op Cash Flow Ph 1'!C48</f>
        <v>3741.8599999999997</v>
      </c>
      <c r="D9" s="66" t="s">
        <v>51</v>
      </c>
      <c r="E9" s="118">
        <f>'Op Cash Flow Ph 1'!Q48</f>
        <v>2222.911390935283</v>
      </c>
      <c r="F9" s="70" t="s">
        <v>53</v>
      </c>
      <c r="G9" s="106">
        <f>AVERAGE(C9,E9)</f>
        <v>2982.385695467641</v>
      </c>
      <c r="H9" s="106"/>
    </row>
    <row r="10" spans="1:8" s="46" customFormat="1" ht="9" customHeight="1">
      <c r="A10" s="56"/>
      <c r="B10" s="67"/>
      <c r="C10" s="118"/>
      <c r="D10" s="68"/>
      <c r="E10" s="118"/>
      <c r="F10" s="71"/>
      <c r="G10" s="106"/>
      <c r="H10" s="106"/>
    </row>
    <row r="11" spans="1:8" s="45" customFormat="1" ht="15">
      <c r="A11" s="56">
        <v>2</v>
      </c>
      <c r="B11" s="36"/>
      <c r="C11" s="118">
        <f>'Op Cash Flow Ph 1'!K48</f>
        <v>7953.908571428572</v>
      </c>
      <c r="D11" s="66" t="s">
        <v>52</v>
      </c>
      <c r="E11" s="118">
        <f>'Op Cash Flow Ph 1'!R48</f>
        <v>4852.463490304032</v>
      </c>
      <c r="F11" s="70" t="s">
        <v>130</v>
      </c>
      <c r="G11" s="106">
        <f>AVERAGE(C11,E11)</f>
        <v>6403.186030866302</v>
      </c>
      <c r="H11" s="106"/>
    </row>
    <row r="12" spans="1:8" s="45" customFormat="1" ht="9" customHeight="1">
      <c r="A12" s="56"/>
      <c r="B12" s="67"/>
      <c r="C12" s="106"/>
      <c r="D12" s="69"/>
      <c r="E12" s="106"/>
      <c r="F12" s="71"/>
      <c r="G12" s="106"/>
      <c r="H12" s="106"/>
    </row>
    <row r="13" spans="1:8" s="45" customFormat="1" ht="15">
      <c r="A13" s="170" t="s">
        <v>152</v>
      </c>
      <c r="B13" s="36"/>
      <c r="C13" s="107">
        <f>'Op Cash Flow Ph 1'!N48</f>
        <v>2536.98869047619</v>
      </c>
      <c r="D13" s="66" t="s">
        <v>52</v>
      </c>
      <c r="E13" s="107">
        <f>'Op Cash Flow Ph 1'!S48</f>
        <v>1676.7934966637608</v>
      </c>
      <c r="F13" s="70" t="s">
        <v>130</v>
      </c>
      <c r="G13" s="107">
        <f>AVERAGE(C13,E13)</f>
        <v>2106.8910935699755</v>
      </c>
      <c r="H13" s="107"/>
    </row>
    <row r="14" spans="1:8" s="45" customFormat="1" ht="15">
      <c r="A14" s="168" t="s">
        <v>46</v>
      </c>
      <c r="B14" s="62"/>
      <c r="C14" s="119">
        <f>SUM(C9:C13)</f>
        <v>14232.757261904762</v>
      </c>
      <c r="D14" s="120"/>
      <c r="E14" s="119">
        <f>SUM(E9:E13)</f>
        <v>8752.168377903075</v>
      </c>
      <c r="F14" s="153"/>
      <c r="G14" s="119">
        <f>SUM(G9:G13)</f>
        <v>11492.462819903918</v>
      </c>
      <c r="H14" s="114"/>
    </row>
    <row r="15" spans="1:8" ht="12.75">
      <c r="A15" s="169"/>
      <c r="B15" s="62"/>
      <c r="C15" s="57"/>
      <c r="D15" s="57"/>
      <c r="E15" s="57"/>
      <c r="F15" s="57"/>
      <c r="G15" s="57"/>
      <c r="H15" s="55"/>
    </row>
    <row r="16" spans="1:8" ht="12.75">
      <c r="A16" s="169"/>
      <c r="B16" s="62"/>
      <c r="C16" s="57"/>
      <c r="D16" s="57"/>
      <c r="E16" s="57"/>
      <c r="F16" s="57"/>
      <c r="G16" s="57"/>
      <c r="H16" s="55"/>
    </row>
    <row r="17" spans="1:8" ht="12.75">
      <c r="A17" s="169"/>
      <c r="B17" s="62"/>
      <c r="C17" s="57"/>
      <c r="D17" s="57"/>
      <c r="E17" s="57"/>
      <c r="F17" s="57"/>
      <c r="G17" s="57"/>
      <c r="H17" s="55"/>
    </row>
    <row r="18" spans="1:8" ht="12.75">
      <c r="A18" s="169"/>
      <c r="B18" s="62"/>
      <c r="C18" s="57"/>
      <c r="D18" s="57"/>
      <c r="E18" s="57"/>
      <c r="F18" s="57"/>
      <c r="G18" s="57"/>
      <c r="H18" s="55"/>
    </row>
    <row r="19" spans="1:8" ht="12.75">
      <c r="A19" s="169"/>
      <c r="B19" s="62"/>
      <c r="C19" s="57"/>
      <c r="D19" s="57"/>
      <c r="E19" s="57"/>
      <c r="F19" s="57"/>
      <c r="G19" s="57"/>
      <c r="H19" s="55"/>
    </row>
    <row r="20" spans="1:8" ht="12.75">
      <c r="A20" s="169"/>
      <c r="B20" s="62"/>
      <c r="C20" s="57"/>
      <c r="D20" s="57"/>
      <c r="E20" s="57"/>
      <c r="F20" s="57"/>
      <c r="G20" s="57"/>
      <c r="H20" s="55"/>
    </row>
    <row r="21" spans="1:8" ht="12.75">
      <c r="A21" s="169"/>
      <c r="B21" s="62"/>
      <c r="C21" s="57"/>
      <c r="D21" s="57"/>
      <c r="E21" s="57"/>
      <c r="F21" s="57"/>
      <c r="G21" s="57"/>
      <c r="H21" s="55"/>
    </row>
    <row r="22" spans="1:8" ht="12.75">
      <c r="A22" s="169"/>
      <c r="B22" s="62"/>
      <c r="C22" s="57"/>
      <c r="D22" s="57"/>
      <c r="E22" s="57"/>
      <c r="F22" s="57"/>
      <c r="G22" s="57"/>
      <c r="H22" s="55"/>
    </row>
    <row r="23" spans="1:8" ht="12.75">
      <c r="A23" s="169"/>
      <c r="B23" s="62"/>
      <c r="C23" s="57"/>
      <c r="D23" s="57"/>
      <c r="E23" s="57"/>
      <c r="F23" s="57"/>
      <c r="G23" s="57"/>
      <c r="H23" s="55"/>
    </row>
    <row r="24" spans="1:8" ht="12.75">
      <c r="A24" s="59"/>
      <c r="B24" s="46"/>
      <c r="C24" s="55"/>
      <c r="D24" s="55"/>
      <c r="E24" s="55"/>
      <c r="F24" s="55"/>
      <c r="G24" s="55"/>
      <c r="H24" s="55"/>
    </row>
    <row r="25" spans="1:8" ht="12.75">
      <c r="A25" s="59"/>
      <c r="B25" s="46"/>
      <c r="C25" s="55"/>
      <c r="D25" s="55"/>
      <c r="E25" s="55"/>
      <c r="F25" s="55"/>
      <c r="G25" s="55"/>
      <c r="H25" s="55"/>
    </row>
    <row r="26" spans="1:10" ht="12.75">
      <c r="A26" s="59"/>
      <c r="B26" s="46"/>
      <c r="C26" s="55"/>
      <c r="D26" s="55"/>
      <c r="E26" s="55"/>
      <c r="F26" s="55"/>
      <c r="G26" s="55"/>
      <c r="H26" s="55"/>
      <c r="J26">
        <f>324/20</f>
        <v>16.2</v>
      </c>
    </row>
    <row r="27" spans="1:8" ht="12.75">
      <c r="A27" s="59"/>
      <c r="B27" s="46"/>
      <c r="C27" s="55"/>
      <c r="D27" s="55"/>
      <c r="E27" s="55"/>
      <c r="F27" s="55"/>
      <c r="G27" s="55"/>
      <c r="H27" s="55"/>
    </row>
    <row r="28" spans="1:8" ht="12.75">
      <c r="A28" s="59"/>
      <c r="B28" s="46"/>
      <c r="C28" s="55"/>
      <c r="D28" s="55"/>
      <c r="E28" s="55"/>
      <c r="F28" s="55"/>
      <c r="G28" s="55"/>
      <c r="H28" s="55"/>
    </row>
    <row r="29" spans="1:8" ht="12.75">
      <c r="A29" s="59"/>
      <c r="B29" s="46"/>
      <c r="C29" s="55"/>
      <c r="D29" s="55"/>
      <c r="E29" s="55"/>
      <c r="F29" s="55"/>
      <c r="G29" s="55"/>
      <c r="H29" s="55"/>
    </row>
    <row r="30" spans="1:8" ht="12.75">
      <c r="A30" s="59"/>
      <c r="B30" s="46"/>
      <c r="C30" s="55"/>
      <c r="D30" s="55"/>
      <c r="E30" s="55"/>
      <c r="F30" s="55"/>
      <c r="G30" s="55"/>
      <c r="H30" s="55"/>
    </row>
    <row r="31" spans="1:8" ht="12.75">
      <c r="A31" s="59"/>
      <c r="B31" s="46"/>
      <c r="C31" s="55"/>
      <c r="D31" s="55"/>
      <c r="E31" s="55"/>
      <c r="F31" s="55"/>
      <c r="G31" s="55"/>
      <c r="H31" s="55"/>
    </row>
    <row r="32" spans="1:8" ht="12.75">
      <c r="A32" s="59"/>
      <c r="B32" s="46"/>
      <c r="C32" s="55"/>
      <c r="D32" s="55"/>
      <c r="E32" s="55"/>
      <c r="F32" s="55"/>
      <c r="G32" s="55"/>
      <c r="H32" s="55"/>
    </row>
    <row r="33" spans="1:8" ht="12.75">
      <c r="A33" s="59"/>
      <c r="B33" s="46"/>
      <c r="C33" s="55"/>
      <c r="D33" s="55"/>
      <c r="E33" s="55"/>
      <c r="F33" s="55"/>
      <c r="G33" s="55"/>
      <c r="H33" s="55"/>
    </row>
    <row r="34" spans="1:8" ht="12.75">
      <c r="A34" s="59"/>
      <c r="B34" s="46"/>
      <c r="C34" s="55"/>
      <c r="D34" s="55"/>
      <c r="E34" s="55"/>
      <c r="F34" s="55"/>
      <c r="G34" s="55"/>
      <c r="H34" s="55"/>
    </row>
    <row r="35" s="47" customFormat="1" ht="20.25" customHeight="1"/>
    <row r="36" s="47" customFormat="1" ht="13.5" customHeight="1"/>
    <row r="37" s="47" customFormat="1" ht="12.75" customHeight="1"/>
    <row r="38" ht="12" customHeight="1"/>
    <row r="42" ht="12.75">
      <c r="A42" s="48"/>
    </row>
  </sheetData>
  <mergeCells count="4">
    <mergeCell ref="C6:E6"/>
    <mergeCell ref="A2:G3"/>
    <mergeCell ref="A4:G4"/>
    <mergeCell ref="A1:G1"/>
  </mergeCells>
  <printOptions horizontalCentered="1"/>
  <pageMargins left="0.56" right="0.31" top="0.73" bottom="0" header="0.3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A1" sqref="A1:H1"/>
    </sheetView>
  </sheetViews>
  <sheetFormatPr defaultColWidth="9.140625" defaultRowHeight="12.75"/>
  <cols>
    <col min="2" max="2" width="10.7109375" style="0" customWidth="1"/>
    <col min="3" max="3" width="10.28125" style="0" customWidth="1"/>
    <col min="4" max="4" width="9.28125" style="0" bestFit="1" customWidth="1"/>
    <col min="6" max="6" width="9.28125" style="0" bestFit="1" customWidth="1"/>
    <col min="7" max="7" width="10.00390625" style="0" customWidth="1"/>
    <col min="8" max="8" width="10.140625" style="0" customWidth="1"/>
    <col min="9" max="9" width="2.00390625" style="0" customWidth="1"/>
    <col min="10" max="10" width="10.7109375" style="0" customWidth="1"/>
    <col min="11" max="13" width="11.140625" style="0" customWidth="1"/>
    <col min="14" max="14" width="11.57421875" style="0" customWidth="1"/>
    <col min="15" max="15" width="11.421875" style="0" customWidth="1"/>
    <col min="17" max="17" width="10.8515625" style="0" customWidth="1"/>
    <col min="18" max="18" width="11.28125" style="0" customWidth="1"/>
    <col min="19" max="19" width="11.57421875" style="0" customWidth="1"/>
    <col min="20" max="20" width="3.00390625" style="0" customWidth="1"/>
    <col min="21" max="23" width="8.7109375" style="0" customWidth="1"/>
    <col min="29" max="30" width="10.7109375" style="0" customWidth="1"/>
  </cols>
  <sheetData>
    <row r="1" spans="1:22" ht="18">
      <c r="A1" s="174" t="s">
        <v>119</v>
      </c>
      <c r="B1" s="174"/>
      <c r="C1" s="174"/>
      <c r="D1" s="174"/>
      <c r="E1" s="174"/>
      <c r="F1" s="174"/>
      <c r="G1" s="174"/>
      <c r="H1" s="174"/>
      <c r="J1" s="122">
        <f>J2</f>
        <v>2.6904761904761907</v>
      </c>
      <c r="K1" s="122">
        <f>K2</f>
        <v>2.6904761904761907</v>
      </c>
      <c r="L1" s="134">
        <f>K2</f>
        <v>2.6904761904761907</v>
      </c>
      <c r="M1" s="134">
        <f>N2</f>
        <v>2.2023809523809526</v>
      </c>
      <c r="N1" s="122">
        <f>N2</f>
        <v>2.2023809523809526</v>
      </c>
      <c r="O1" s="122">
        <f>N2</f>
        <v>2.2023809523809526</v>
      </c>
      <c r="U1">
        <f>324/243</f>
        <v>1.3333333333333333</v>
      </c>
      <c r="V1">
        <f>(1379*(185/962))/324</f>
        <v>0.8184947768281101</v>
      </c>
    </row>
    <row r="2" spans="1:15" ht="13.5" customHeight="1">
      <c r="A2" s="123"/>
      <c r="B2" s="123"/>
      <c r="C2" s="161"/>
      <c r="D2" s="123"/>
      <c r="E2" s="123"/>
      <c r="F2" s="123"/>
      <c r="G2" s="123"/>
      <c r="H2" s="123"/>
      <c r="J2" s="133">
        <f>226/84</f>
        <v>2.6904761904761907</v>
      </c>
      <c r="K2" s="133">
        <f>226/84</f>
        <v>2.6904761904761907</v>
      </c>
      <c r="N2" s="133">
        <f>185/84</f>
        <v>2.2023809523809526</v>
      </c>
      <c r="O2" s="132" t="s">
        <v>116</v>
      </c>
    </row>
    <row r="3" spans="1:28" s="2" customFormat="1" ht="63.75">
      <c r="A3" s="2" t="s">
        <v>0</v>
      </c>
      <c r="B3" s="2" t="s">
        <v>121</v>
      </c>
      <c r="C3" s="2" t="s">
        <v>120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J3" s="2" t="s">
        <v>123</v>
      </c>
      <c r="K3" s="2" t="s">
        <v>122</v>
      </c>
      <c r="L3" s="2" t="s">
        <v>117</v>
      </c>
      <c r="M3" s="2" t="s">
        <v>128</v>
      </c>
      <c r="N3" s="2" t="s">
        <v>127</v>
      </c>
      <c r="O3" s="2" t="s">
        <v>118</v>
      </c>
      <c r="Q3" s="2" t="s">
        <v>124</v>
      </c>
      <c r="R3" s="2" t="s">
        <v>125</v>
      </c>
      <c r="S3" s="2" t="s">
        <v>126</v>
      </c>
      <c r="U3" s="2" t="s">
        <v>136</v>
      </c>
      <c r="V3" s="2" t="s">
        <v>137</v>
      </c>
      <c r="AB3" s="2">
        <v>1.02</v>
      </c>
    </row>
    <row r="4" spans="1:28" ht="12.75">
      <c r="A4">
        <v>2010</v>
      </c>
      <c r="B4">
        <v>64.558</v>
      </c>
      <c r="C4" s="3">
        <v>57.17</v>
      </c>
      <c r="D4" s="3">
        <v>20.11</v>
      </c>
      <c r="E4" s="3">
        <v>6.09</v>
      </c>
      <c r="F4" s="3">
        <f>C4-D4-E4</f>
        <v>30.970000000000002</v>
      </c>
      <c r="G4" s="3">
        <f>(C4-D4)/E4</f>
        <v>6.085385878489327</v>
      </c>
      <c r="H4" s="3">
        <f>C4/(D4+E4)</f>
        <v>2.18206106870229</v>
      </c>
      <c r="Q4" s="3">
        <f>B4-(28.85-12)</f>
        <v>47.708000000000006</v>
      </c>
      <c r="AB4">
        <f>100*AB3^8</f>
        <v>117.16593810022655</v>
      </c>
    </row>
    <row r="5" spans="1:28" ht="12.75">
      <c r="A5">
        <v>2011</v>
      </c>
      <c r="B5">
        <v>68.028</v>
      </c>
      <c r="C5" s="3">
        <v>74.76</v>
      </c>
      <c r="D5" s="3">
        <v>48.69</v>
      </c>
      <c r="E5" s="3">
        <v>5.31</v>
      </c>
      <c r="F5" s="3">
        <f aca="true" t="shared" si="0" ref="F5:F33">C5-D5-E5</f>
        <v>20.76000000000001</v>
      </c>
      <c r="G5" s="3">
        <f aca="true" t="shared" si="1" ref="G5:G32">(C5-D5)/E5</f>
        <v>4.909604519774013</v>
      </c>
      <c r="H5" s="3">
        <f aca="true" t="shared" si="2" ref="H5:H32">C5/(D5+E5)</f>
        <v>1.3844444444444446</v>
      </c>
      <c r="Q5" s="3">
        <f>($Q$4/$B$4)*B5</f>
        <v>50.27231054245795</v>
      </c>
      <c r="X5" s="5"/>
      <c r="Y5" s="5"/>
      <c r="Z5" s="5"/>
      <c r="AB5">
        <f>AB4*$AB$3</f>
        <v>119.50925686223108</v>
      </c>
    </row>
    <row r="6" spans="1:28" ht="12.75">
      <c r="A6">
        <v>2012</v>
      </c>
      <c r="B6">
        <v>71.611</v>
      </c>
      <c r="C6" s="3">
        <v>78.84</v>
      </c>
      <c r="D6" s="3">
        <v>50.19</v>
      </c>
      <c r="E6" s="3">
        <v>5.31</v>
      </c>
      <c r="F6" s="3">
        <f t="shared" si="0"/>
        <v>23.340000000000007</v>
      </c>
      <c r="G6" s="3">
        <f t="shared" si="1"/>
        <v>5.3954802259887025</v>
      </c>
      <c r="H6" s="3">
        <f t="shared" si="2"/>
        <v>1.4205405405405407</v>
      </c>
      <c r="Q6" s="3">
        <f aca="true" t="shared" si="3" ref="Q6:Q34">($Q$4/$B$4)*B6</f>
        <v>52.920127451284124</v>
      </c>
      <c r="X6" s="5"/>
      <c r="Y6" s="5"/>
      <c r="Z6" s="5"/>
      <c r="AB6">
        <f>AB5*$AB$3</f>
        <v>121.89944199947571</v>
      </c>
    </row>
    <row r="7" spans="1:28" ht="12.75">
      <c r="A7">
        <v>2013</v>
      </c>
      <c r="B7">
        <v>75.311</v>
      </c>
      <c r="C7" s="3">
        <v>83.16</v>
      </c>
      <c r="D7" s="3">
        <v>51.74</v>
      </c>
      <c r="E7" s="3">
        <v>5.31</v>
      </c>
      <c r="F7" s="3">
        <f t="shared" si="0"/>
        <v>26.109999999999996</v>
      </c>
      <c r="G7" s="3">
        <f t="shared" si="1"/>
        <v>5.9171374764595095</v>
      </c>
      <c r="H7" s="3">
        <f t="shared" si="2"/>
        <v>1.4576687116564415</v>
      </c>
      <c r="J7" s="3">
        <f aca="true" t="shared" si="4" ref="J7:J36">J$1*$B4</f>
        <v>173.69176190476193</v>
      </c>
      <c r="K7" s="3">
        <f>K$1*$C4</f>
        <v>153.81452380952382</v>
      </c>
      <c r="L7" s="3">
        <f aca="true" t="shared" si="5" ref="L7:L36">L$1*$D4</f>
        <v>54.105476190476196</v>
      </c>
      <c r="Q7" s="3">
        <f t="shared" si="3"/>
        <v>55.65440670404908</v>
      </c>
      <c r="R7" s="3">
        <f aca="true" t="shared" si="6" ref="R7:R36">($Q$4/$B$4)*J7</f>
        <v>128.35723809523813</v>
      </c>
      <c r="U7" s="3">
        <f>U$1*$E4</f>
        <v>8.12</v>
      </c>
      <c r="X7" s="5"/>
      <c r="Y7" s="5"/>
      <c r="Z7" s="5"/>
      <c r="AB7">
        <f aca="true" t="shared" si="7" ref="AB7:AB38">AB6*$AB$3</f>
        <v>124.33743083946523</v>
      </c>
    </row>
    <row r="8" spans="1:28" ht="12.75">
      <c r="A8">
        <v>2014</v>
      </c>
      <c r="B8">
        <v>79.193</v>
      </c>
      <c r="C8" s="3">
        <v>87.7</v>
      </c>
      <c r="D8" s="3">
        <v>53.32</v>
      </c>
      <c r="E8" s="3">
        <v>5.31</v>
      </c>
      <c r="F8" s="3">
        <f t="shared" si="0"/>
        <v>29.070000000000004</v>
      </c>
      <c r="G8" s="3">
        <f t="shared" si="1"/>
        <v>6.474576271186442</v>
      </c>
      <c r="H8" s="3">
        <f t="shared" si="2"/>
        <v>1.495821251918813</v>
      </c>
      <c r="J8" s="3">
        <f t="shared" si="4"/>
        <v>183.02771428571432</v>
      </c>
      <c r="K8" s="3">
        <f aca="true" t="shared" si="8" ref="K8:K36">$K$1*C5</f>
        <v>201.14000000000004</v>
      </c>
      <c r="L8" s="3">
        <f t="shared" si="5"/>
        <v>130.99928571428572</v>
      </c>
      <c r="Q8" s="3">
        <f t="shared" si="3"/>
        <v>58.52318293627436</v>
      </c>
      <c r="R8" s="3">
        <f t="shared" si="6"/>
        <v>135.2564545547083</v>
      </c>
      <c r="U8" s="3">
        <f aca="true" t="shared" si="9" ref="U8:U36">U$1*$E5</f>
        <v>7.079999999999999</v>
      </c>
      <c r="X8" s="5"/>
      <c r="Y8" s="5"/>
      <c r="Z8" s="5"/>
      <c r="AB8">
        <f t="shared" si="7"/>
        <v>126.82417945625454</v>
      </c>
    </row>
    <row r="9" spans="1:30" ht="12.75">
      <c r="A9">
        <v>2015</v>
      </c>
      <c r="B9">
        <v>83.135</v>
      </c>
      <c r="C9" s="3">
        <v>92.5</v>
      </c>
      <c r="D9" s="3">
        <v>54.95</v>
      </c>
      <c r="E9" s="3">
        <v>5.31</v>
      </c>
      <c r="F9" s="3">
        <f t="shared" si="0"/>
        <v>32.239999999999995</v>
      </c>
      <c r="G9" s="3">
        <f t="shared" si="1"/>
        <v>7.071563088512241</v>
      </c>
      <c r="H9" s="3">
        <f t="shared" si="2"/>
        <v>1.5350149352804512</v>
      </c>
      <c r="J9" s="3">
        <f t="shared" si="4"/>
        <v>192.6676904761905</v>
      </c>
      <c r="K9" s="3">
        <f t="shared" si="8"/>
        <v>212.11714285714288</v>
      </c>
      <c r="L9" s="3">
        <f t="shared" si="5"/>
        <v>135.035</v>
      </c>
      <c r="M9" s="3"/>
      <c r="Q9" s="3">
        <f t="shared" si="3"/>
        <v>61.436298832058</v>
      </c>
      <c r="R9" s="3">
        <f t="shared" si="6"/>
        <v>142.38034290464537</v>
      </c>
      <c r="U9" s="3">
        <f t="shared" si="9"/>
        <v>7.079999999999999</v>
      </c>
      <c r="X9" s="5"/>
      <c r="Y9" s="5"/>
      <c r="Z9" s="5"/>
      <c r="AB9">
        <f t="shared" si="7"/>
        <v>129.36066304537962</v>
      </c>
      <c r="AC9" s="3">
        <f aca="true" t="shared" si="10" ref="AC9:AC38">K7/($AB$9*0.01)</f>
        <v>118.90362973446247</v>
      </c>
      <c r="AD9" s="3">
        <f aca="true" t="shared" si="11" ref="AD9:AD38">L7/($AB$9*0.01)</f>
        <v>41.82529288018262</v>
      </c>
    </row>
    <row r="10" spans="1:30" ht="12.75">
      <c r="A10">
        <v>2016</v>
      </c>
      <c r="B10">
        <v>87.138</v>
      </c>
      <c r="C10" s="3">
        <v>97.56</v>
      </c>
      <c r="D10" s="3">
        <v>56.63</v>
      </c>
      <c r="E10" s="3">
        <v>5.31</v>
      </c>
      <c r="F10" s="3">
        <f t="shared" si="0"/>
        <v>35.62</v>
      </c>
      <c r="G10" s="3">
        <f t="shared" si="1"/>
        <v>7.708097928436912</v>
      </c>
      <c r="H10" s="3">
        <f t="shared" si="2"/>
        <v>1.5750726509525346</v>
      </c>
      <c r="J10" s="3">
        <f t="shared" si="4"/>
        <v>202.6224523809524</v>
      </c>
      <c r="K10" s="3">
        <f t="shared" si="8"/>
        <v>223.74</v>
      </c>
      <c r="L10" s="3">
        <f t="shared" si="5"/>
        <v>139.20523809523812</v>
      </c>
      <c r="M10" s="3"/>
      <c r="Q10" s="3">
        <f t="shared" si="3"/>
        <v>64.39449338579263</v>
      </c>
      <c r="R10" s="3">
        <f t="shared" si="6"/>
        <v>149.73685613232254</v>
      </c>
      <c r="U10" s="3">
        <f t="shared" si="9"/>
        <v>7.079999999999999</v>
      </c>
      <c r="X10" s="5"/>
      <c r="Y10" s="5"/>
      <c r="Z10" s="5"/>
      <c r="AB10">
        <f t="shared" si="7"/>
        <v>131.9478763062872</v>
      </c>
      <c r="AC10" s="3">
        <f t="shared" si="10"/>
        <v>155.48776209460235</v>
      </c>
      <c r="AD10" s="3">
        <f t="shared" si="11"/>
        <v>101.26670861939789</v>
      </c>
    </row>
    <row r="11" spans="1:30" ht="12.75">
      <c r="A11">
        <v>2017</v>
      </c>
      <c r="B11">
        <v>91.335</v>
      </c>
      <c r="C11" s="3">
        <v>102.9</v>
      </c>
      <c r="D11" s="3">
        <v>58.34</v>
      </c>
      <c r="E11" s="3">
        <v>5.31</v>
      </c>
      <c r="F11" s="3">
        <f t="shared" si="0"/>
        <v>39.25</v>
      </c>
      <c r="G11" s="3">
        <f t="shared" si="1"/>
        <v>8.391713747645952</v>
      </c>
      <c r="H11" s="3">
        <f t="shared" si="2"/>
        <v>1.6166535742340926</v>
      </c>
      <c r="J11" s="3">
        <f t="shared" si="4"/>
        <v>213.06688095238096</v>
      </c>
      <c r="K11" s="3">
        <f t="shared" si="8"/>
        <v>235.95476190476194</v>
      </c>
      <c r="L11" s="3">
        <f t="shared" si="5"/>
        <v>143.4561904761905</v>
      </c>
      <c r="M11" s="3"/>
      <c r="Q11" s="3">
        <f t="shared" si="3"/>
        <v>67.49605285169925</v>
      </c>
      <c r="R11" s="3">
        <f t="shared" si="6"/>
        <v>157.45523028092865</v>
      </c>
      <c r="U11" s="3">
        <f t="shared" si="9"/>
        <v>7.079999999999999</v>
      </c>
      <c r="X11" s="5"/>
      <c r="Y11" s="5"/>
      <c r="Z11" s="5"/>
      <c r="AB11">
        <f t="shared" si="7"/>
        <v>134.58683383241296</v>
      </c>
      <c r="AC11" s="3">
        <f t="shared" si="10"/>
        <v>163.97345055562397</v>
      </c>
      <c r="AD11" s="3">
        <f t="shared" si="11"/>
        <v>104.38644702418524</v>
      </c>
    </row>
    <row r="12" spans="1:30" ht="12.75">
      <c r="A12">
        <v>2018</v>
      </c>
      <c r="B12">
        <v>95.664</v>
      </c>
      <c r="C12" s="3">
        <v>109.84</v>
      </c>
      <c r="D12" s="3">
        <v>60.11</v>
      </c>
      <c r="E12" s="3">
        <v>5.31</v>
      </c>
      <c r="F12" s="3">
        <f t="shared" si="0"/>
        <v>44.42</v>
      </c>
      <c r="G12" s="3">
        <f t="shared" si="1"/>
        <v>9.365348399246706</v>
      </c>
      <c r="H12" s="3">
        <f t="shared" si="2"/>
        <v>1.6789972485478446</v>
      </c>
      <c r="J12" s="3">
        <f t="shared" si="4"/>
        <v>223.67273809523812</v>
      </c>
      <c r="K12" s="3">
        <f t="shared" si="8"/>
        <v>248.86904761904765</v>
      </c>
      <c r="L12" s="3">
        <f t="shared" si="5"/>
        <v>147.8416666666667</v>
      </c>
      <c r="M12" s="3"/>
      <c r="Q12" s="3">
        <f t="shared" si="3"/>
        <v>70.69515957743425</v>
      </c>
      <c r="R12" s="3">
        <f t="shared" si="6"/>
        <v>165.29289923863226</v>
      </c>
      <c r="U12" s="3">
        <f t="shared" si="9"/>
        <v>7.079999999999999</v>
      </c>
      <c r="X12" s="5"/>
      <c r="Y12" s="5"/>
      <c r="Z12" s="5"/>
      <c r="AB12">
        <f t="shared" si="7"/>
        <v>137.27857050906124</v>
      </c>
      <c r="AC12" s="3">
        <f t="shared" si="10"/>
        <v>172.95829716141156</v>
      </c>
      <c r="AD12" s="3">
        <f t="shared" si="11"/>
        <v>107.61017670913222</v>
      </c>
    </row>
    <row r="13" spans="1:30" ht="12.75">
      <c r="A13">
        <v>2019</v>
      </c>
      <c r="B13">
        <v>100.131</v>
      </c>
      <c r="C13" s="3">
        <v>115.94</v>
      </c>
      <c r="D13" s="3">
        <v>61.92</v>
      </c>
      <c r="E13" s="3">
        <v>6.11</v>
      </c>
      <c r="F13" s="3">
        <f t="shared" si="0"/>
        <v>47.91</v>
      </c>
      <c r="G13" s="3">
        <f t="shared" si="1"/>
        <v>8.841243862520457</v>
      </c>
      <c r="H13" s="3">
        <f t="shared" si="2"/>
        <v>1.704248125826841</v>
      </c>
      <c r="J13" s="3">
        <f t="shared" si="4"/>
        <v>234.44271428571432</v>
      </c>
      <c r="K13" s="3">
        <f t="shared" si="8"/>
        <v>262.48285714285714</v>
      </c>
      <c r="L13" s="3">
        <f t="shared" si="5"/>
        <v>152.36166666666668</v>
      </c>
      <c r="M13" s="3"/>
      <c r="Q13" s="3">
        <f t="shared" si="3"/>
        <v>73.99624752935345</v>
      </c>
      <c r="R13" s="3">
        <f t="shared" si="6"/>
        <v>173.2518512522516</v>
      </c>
      <c r="U13" s="3">
        <f t="shared" si="9"/>
        <v>7.079999999999999</v>
      </c>
      <c r="X13" s="5"/>
      <c r="Y13" s="5"/>
      <c r="Z13" s="5"/>
      <c r="AB13">
        <f t="shared" si="7"/>
        <v>140.02414191924245</v>
      </c>
      <c r="AC13" s="3">
        <f t="shared" si="10"/>
        <v>182.40070539990134</v>
      </c>
      <c r="AD13" s="3">
        <f t="shared" si="11"/>
        <v>110.89630116217491</v>
      </c>
    </row>
    <row r="14" spans="1:30" ht="12.75">
      <c r="A14">
        <v>2020</v>
      </c>
      <c r="B14">
        <v>104.738</v>
      </c>
      <c r="C14" s="3">
        <v>122.38</v>
      </c>
      <c r="D14" s="3">
        <v>63.78</v>
      </c>
      <c r="E14" s="3">
        <v>7.99</v>
      </c>
      <c r="F14" s="3">
        <f t="shared" si="0"/>
        <v>50.60999999999999</v>
      </c>
      <c r="G14" s="3">
        <f t="shared" si="1"/>
        <v>7.334167709637045</v>
      </c>
      <c r="H14" s="3">
        <f t="shared" si="2"/>
        <v>1.7051692907900238</v>
      </c>
      <c r="J14" s="3">
        <f t="shared" si="4"/>
        <v>245.73464285714286</v>
      </c>
      <c r="K14" s="3">
        <f t="shared" si="8"/>
        <v>276.85</v>
      </c>
      <c r="L14" s="3">
        <f t="shared" si="5"/>
        <v>156.96238095238098</v>
      </c>
      <c r="M14" s="3"/>
      <c r="Q14" s="3">
        <f t="shared" si="3"/>
        <v>77.40079469624214</v>
      </c>
      <c r="R14" s="3">
        <f t="shared" si="6"/>
        <v>181.5965231486194</v>
      </c>
      <c r="U14" s="3">
        <f t="shared" si="9"/>
        <v>7.079999999999999</v>
      </c>
      <c r="X14" s="5"/>
      <c r="Y14" s="5"/>
      <c r="Z14" s="5"/>
      <c r="AB14">
        <f t="shared" si="7"/>
        <v>142.8246247576273</v>
      </c>
      <c r="AC14" s="3">
        <f t="shared" si="10"/>
        <v>192.3838682952209</v>
      </c>
      <c r="AD14" s="3">
        <f t="shared" si="11"/>
        <v>114.28641689537719</v>
      </c>
    </row>
    <row r="15" spans="1:30" ht="12.75">
      <c r="A15">
        <v>2021</v>
      </c>
      <c r="B15">
        <v>109.416</v>
      </c>
      <c r="C15" s="3">
        <v>129.18</v>
      </c>
      <c r="D15" s="3">
        <v>65.69</v>
      </c>
      <c r="E15" s="3">
        <v>10.03</v>
      </c>
      <c r="F15" s="3">
        <f t="shared" si="0"/>
        <v>53.46000000000001</v>
      </c>
      <c r="G15" s="3">
        <f t="shared" si="1"/>
        <v>6.3300099700897325</v>
      </c>
      <c r="H15" s="3">
        <f t="shared" si="2"/>
        <v>1.7060221870047545</v>
      </c>
      <c r="J15" s="3">
        <f t="shared" si="4"/>
        <v>257.38171428571434</v>
      </c>
      <c r="K15" s="3">
        <f t="shared" si="8"/>
        <v>295.5219047619048</v>
      </c>
      <c r="L15" s="3">
        <f t="shared" si="5"/>
        <v>161.72452380952382</v>
      </c>
      <c r="Q15" s="3">
        <f t="shared" si="3"/>
        <v>80.85781046500821</v>
      </c>
      <c r="R15" s="3">
        <f t="shared" si="6"/>
        <v>190.20364362500172</v>
      </c>
      <c r="U15" s="3">
        <f t="shared" si="9"/>
        <v>7.079999999999999</v>
      </c>
      <c r="X15" s="5"/>
      <c r="Y15" s="5"/>
      <c r="Z15" s="5"/>
      <c r="AB15">
        <f t="shared" si="7"/>
        <v>145.68111725277984</v>
      </c>
      <c r="AC15" s="3">
        <f t="shared" si="10"/>
        <v>202.90778584737026</v>
      </c>
      <c r="AD15" s="3">
        <f t="shared" si="11"/>
        <v>117.78052390873901</v>
      </c>
    </row>
    <row r="16" spans="1:30" ht="12.75">
      <c r="A16">
        <v>2022</v>
      </c>
      <c r="B16">
        <v>114.313</v>
      </c>
      <c r="C16" s="3">
        <v>136.36</v>
      </c>
      <c r="D16" s="3">
        <v>67.65</v>
      </c>
      <c r="E16" s="3">
        <v>12.24</v>
      </c>
      <c r="F16" s="3">
        <f t="shared" si="0"/>
        <v>56.470000000000006</v>
      </c>
      <c r="G16" s="3">
        <f t="shared" si="1"/>
        <v>5.613562091503269</v>
      </c>
      <c r="H16" s="3">
        <f t="shared" si="2"/>
        <v>1.7068469145074479</v>
      </c>
      <c r="J16" s="3">
        <f t="shared" si="4"/>
        <v>269.40007142857144</v>
      </c>
      <c r="K16" s="3">
        <f t="shared" si="8"/>
        <v>311.93380952380954</v>
      </c>
      <c r="L16" s="3">
        <f t="shared" si="5"/>
        <v>166.59428571428572</v>
      </c>
      <c r="Q16" s="3">
        <f t="shared" si="3"/>
        <v>84.47666600576227</v>
      </c>
      <c r="R16" s="3">
        <f t="shared" si="6"/>
        <v>199.0851421623081</v>
      </c>
      <c r="U16" s="3">
        <f t="shared" si="9"/>
        <v>8.146666666666667</v>
      </c>
      <c r="X16" s="5"/>
      <c r="Y16" s="5"/>
      <c r="Z16" s="5"/>
      <c r="AB16">
        <f t="shared" si="7"/>
        <v>148.59473959783543</v>
      </c>
      <c r="AC16" s="3">
        <f t="shared" si="10"/>
        <v>214.01405456841331</v>
      </c>
      <c r="AD16" s="3">
        <f t="shared" si="11"/>
        <v>121.33702569019663</v>
      </c>
    </row>
    <row r="17" spans="1:30" ht="12.75">
      <c r="A17">
        <v>2023</v>
      </c>
      <c r="B17">
        <v>119.439</v>
      </c>
      <c r="C17" s="3">
        <v>143.93</v>
      </c>
      <c r="D17" s="3">
        <v>71.03</v>
      </c>
      <c r="E17" s="3">
        <v>14.63</v>
      </c>
      <c r="F17" s="3">
        <f t="shared" si="0"/>
        <v>58.27</v>
      </c>
      <c r="G17" s="3">
        <f t="shared" si="1"/>
        <v>4.982911825017088</v>
      </c>
      <c r="H17" s="3">
        <f t="shared" si="2"/>
        <v>1.680247490077049</v>
      </c>
      <c r="J17" s="3">
        <f t="shared" si="4"/>
        <v>281.79509523809526</v>
      </c>
      <c r="K17" s="3">
        <f t="shared" si="8"/>
        <v>329.2604761904762</v>
      </c>
      <c r="L17" s="3">
        <f t="shared" si="5"/>
        <v>171.59857142857143</v>
      </c>
      <c r="M17" s="3">
        <f aca="true" t="shared" si="12" ref="M17:M46">M$1*$B4</f>
        <v>142.18130952380955</v>
      </c>
      <c r="N17" s="3">
        <f aca="true" t="shared" si="13" ref="N17:N46">N$1*$C4</f>
        <v>125.91011904761906</v>
      </c>
      <c r="O17" s="3">
        <f aca="true" t="shared" si="14" ref="O17:O46">O$1*$D4</f>
        <v>44.289880952380955</v>
      </c>
      <c r="Q17" s="3">
        <f t="shared" si="3"/>
        <v>88.26475126243068</v>
      </c>
      <c r="R17" s="3">
        <f t="shared" si="6"/>
        <v>208.2449952541753</v>
      </c>
      <c r="S17" s="3">
        <f>($Q$4/$B$4)*M17</f>
        <v>105.0711904761905</v>
      </c>
      <c r="U17" s="3">
        <f t="shared" si="9"/>
        <v>10.653333333333332</v>
      </c>
      <c r="V17" s="3">
        <f>V$1*$U7</f>
        <v>6.646177587844253</v>
      </c>
      <c r="X17" s="162"/>
      <c r="Y17" s="5"/>
      <c r="Z17" s="5"/>
      <c r="AB17">
        <f t="shared" si="7"/>
        <v>151.56663438979214</v>
      </c>
      <c r="AC17" s="3">
        <f t="shared" si="10"/>
        <v>228.44804425456286</v>
      </c>
      <c r="AD17" s="3">
        <f t="shared" si="11"/>
        <v>125.01831700784571</v>
      </c>
    </row>
    <row r="18" spans="1:30" ht="12.75">
      <c r="A18">
        <v>2024</v>
      </c>
      <c r="B18">
        <v>124.569</v>
      </c>
      <c r="C18" s="3">
        <v>151.92</v>
      </c>
      <c r="D18" s="3">
        <v>71.74</v>
      </c>
      <c r="E18" s="3">
        <v>17.2</v>
      </c>
      <c r="F18" s="3">
        <f t="shared" si="0"/>
        <v>62.97999999999999</v>
      </c>
      <c r="G18" s="3">
        <f t="shared" si="1"/>
        <v>4.661627906976744</v>
      </c>
      <c r="H18" s="3">
        <f t="shared" si="2"/>
        <v>1.708117832246458</v>
      </c>
      <c r="J18" s="3">
        <f t="shared" si="4"/>
        <v>294.3811428571429</v>
      </c>
      <c r="K18" s="3">
        <f t="shared" si="8"/>
        <v>347.5557142857143</v>
      </c>
      <c r="L18" s="3">
        <f t="shared" si="5"/>
        <v>176.73738095238096</v>
      </c>
      <c r="M18" s="3">
        <f t="shared" si="12"/>
        <v>149.82357142857146</v>
      </c>
      <c r="N18" s="3">
        <f t="shared" si="13"/>
        <v>164.65000000000003</v>
      </c>
      <c r="O18" s="3">
        <f t="shared" si="14"/>
        <v>107.23392857142858</v>
      </c>
      <c r="Q18" s="3">
        <f t="shared" si="3"/>
        <v>92.05579249666967</v>
      </c>
      <c r="R18" s="3">
        <f t="shared" si="6"/>
        <v>217.54601387014117</v>
      </c>
      <c r="S18" s="3">
        <f aca="true" t="shared" si="15" ref="S18:S46">($Q$4/$B$4)*M18</f>
        <v>110.71877917088955</v>
      </c>
      <c r="U18" s="3">
        <f t="shared" si="9"/>
        <v>13.373333333333331</v>
      </c>
      <c r="V18" s="3">
        <f aca="true" t="shared" si="16" ref="V18:V46">V$1*$U8</f>
        <v>5.794943019943019</v>
      </c>
      <c r="X18" s="5">
        <f>N18/N17-1</f>
        <v>0.3076788525450411</v>
      </c>
      <c r="Y18" s="5">
        <f>S18/S17-1</f>
        <v>0.05375011617460279</v>
      </c>
      <c r="Z18" s="5"/>
      <c r="AB18">
        <f t="shared" si="7"/>
        <v>154.59796707758798</v>
      </c>
      <c r="AC18" s="3">
        <f t="shared" si="10"/>
        <v>241.13498043403146</v>
      </c>
      <c r="AD18" s="3">
        <f t="shared" si="11"/>
        <v>128.78280134962245</v>
      </c>
    </row>
    <row r="19" spans="1:30" ht="12.75">
      <c r="A19">
        <v>2025</v>
      </c>
      <c r="B19">
        <v>130.015</v>
      </c>
      <c r="C19" s="3">
        <v>163.09</v>
      </c>
      <c r="D19" s="3">
        <v>73.87</v>
      </c>
      <c r="E19" s="3">
        <v>21.57</v>
      </c>
      <c r="F19" s="3">
        <f t="shared" si="0"/>
        <v>67.65</v>
      </c>
      <c r="G19" s="3">
        <f t="shared" si="1"/>
        <v>4.136300417246175</v>
      </c>
      <c r="H19" s="3">
        <f t="shared" si="2"/>
        <v>1.7088222967309306</v>
      </c>
      <c r="J19" s="3">
        <f t="shared" si="4"/>
        <v>307.5564047619048</v>
      </c>
      <c r="K19" s="3">
        <f t="shared" si="8"/>
        <v>366.8733333333334</v>
      </c>
      <c r="L19" s="3">
        <f t="shared" si="5"/>
        <v>182.01071428571433</v>
      </c>
      <c r="M19" s="3">
        <f t="shared" si="12"/>
        <v>157.7147023809524</v>
      </c>
      <c r="N19" s="3">
        <f t="shared" si="13"/>
        <v>173.6357142857143</v>
      </c>
      <c r="O19" s="3">
        <f t="shared" si="14"/>
        <v>110.53750000000001</v>
      </c>
      <c r="Q19" s="3">
        <f t="shared" si="3"/>
        <v>96.08035595898261</v>
      </c>
      <c r="R19" s="3">
        <f t="shared" si="6"/>
        <v>227.28245853931278</v>
      </c>
      <c r="S19" s="3">
        <f>($Q$4/$B$4)*M19</f>
        <v>116.55028069628051</v>
      </c>
      <c r="U19" s="3">
        <f t="shared" si="9"/>
        <v>16.32</v>
      </c>
      <c r="V19" s="3">
        <f t="shared" si="16"/>
        <v>5.794943019943019</v>
      </c>
      <c r="X19" s="5">
        <f aca="true" t="shared" si="17" ref="X19:X46">N19/N18-1</f>
        <v>0.05457463884430158</v>
      </c>
      <c r="Y19" s="5">
        <f aca="true" t="shared" si="18" ref="Y19:Y46">S19/S18-1</f>
        <v>0.052669489033926986</v>
      </c>
      <c r="Z19" s="5"/>
      <c r="AB19">
        <f t="shared" si="7"/>
        <v>157.68992641913974</v>
      </c>
      <c r="AC19" s="3">
        <f t="shared" si="10"/>
        <v>254.52905731858522</v>
      </c>
      <c r="AD19" s="3">
        <f t="shared" si="11"/>
        <v>132.6512769715588</v>
      </c>
    </row>
    <row r="20" spans="1:30" ht="12.75">
      <c r="A20">
        <v>2026</v>
      </c>
      <c r="B20">
        <v>136.247</v>
      </c>
      <c r="C20" s="3">
        <v>173</v>
      </c>
      <c r="D20" s="3">
        <v>76.54</v>
      </c>
      <c r="E20" s="3">
        <v>25.14</v>
      </c>
      <c r="F20" s="3">
        <f t="shared" si="0"/>
        <v>71.32</v>
      </c>
      <c r="G20" s="3">
        <f t="shared" si="1"/>
        <v>3.836913285600636</v>
      </c>
      <c r="H20" s="3">
        <f t="shared" si="2"/>
        <v>1.701416207710464</v>
      </c>
      <c r="J20" s="3">
        <f t="shared" si="4"/>
        <v>321.34778571428575</v>
      </c>
      <c r="K20" s="3">
        <f t="shared" si="8"/>
        <v>387.24023809523817</v>
      </c>
      <c r="L20" s="3">
        <f t="shared" si="5"/>
        <v>191.10452380952384</v>
      </c>
      <c r="M20" s="3">
        <f t="shared" si="12"/>
        <v>165.86351190476194</v>
      </c>
      <c r="N20" s="3">
        <f t="shared" si="13"/>
        <v>183.15</v>
      </c>
      <c r="O20" s="3">
        <f t="shared" si="14"/>
        <v>113.95119047619049</v>
      </c>
      <c r="Q20" s="3">
        <f t="shared" si="3"/>
        <v>100.68576901390999</v>
      </c>
      <c r="R20" s="3">
        <f t="shared" si="6"/>
        <v>237.47421172987308</v>
      </c>
      <c r="S20" s="3">
        <f t="shared" si="15"/>
        <v>122.57220524106049</v>
      </c>
      <c r="U20" s="3">
        <f t="shared" si="9"/>
        <v>19.506666666666668</v>
      </c>
      <c r="V20" s="3">
        <f>V$1*$U10</f>
        <v>5.794943019943019</v>
      </c>
      <c r="X20" s="5">
        <f t="shared" si="17"/>
        <v>0.0547945205479452</v>
      </c>
      <c r="Y20" s="5">
        <f t="shared" si="18"/>
        <v>0.051668039826283874</v>
      </c>
      <c r="Z20" s="5"/>
      <c r="AB20">
        <f t="shared" si="7"/>
        <v>160.84372494752253</v>
      </c>
      <c r="AC20" s="3">
        <f t="shared" si="10"/>
        <v>268.67187142028797</v>
      </c>
      <c r="AD20" s="3">
        <f t="shared" si="11"/>
        <v>136.62374387365472</v>
      </c>
    </row>
    <row r="21" spans="1:30" ht="12.75">
      <c r="A21">
        <v>2027</v>
      </c>
      <c r="B21">
        <v>142.78</v>
      </c>
      <c r="C21" s="3">
        <v>183.51</v>
      </c>
      <c r="D21" s="3">
        <v>78.29</v>
      </c>
      <c r="E21" s="3">
        <v>29.01</v>
      </c>
      <c r="F21" s="3">
        <f t="shared" si="0"/>
        <v>76.20999999999998</v>
      </c>
      <c r="G21" s="3">
        <f t="shared" si="1"/>
        <v>3.6270251637366417</v>
      </c>
      <c r="H21" s="3">
        <f t="shared" si="2"/>
        <v>1.7102516309412858</v>
      </c>
      <c r="J21" s="3">
        <f t="shared" si="4"/>
        <v>335.14992857142863</v>
      </c>
      <c r="K21" s="3">
        <f t="shared" si="8"/>
        <v>408.7371428571428</v>
      </c>
      <c r="L21" s="3">
        <f t="shared" si="5"/>
        <v>193.0147619047619</v>
      </c>
      <c r="M21" s="3">
        <f t="shared" si="12"/>
        <v>174.41315476190476</v>
      </c>
      <c r="N21" s="3">
        <f t="shared" si="13"/>
        <v>193.14880952380955</v>
      </c>
      <c r="O21" s="3">
        <f t="shared" si="14"/>
        <v>117.43095238095239</v>
      </c>
      <c r="Q21" s="3">
        <f t="shared" si="3"/>
        <v>105.51361938102173</v>
      </c>
      <c r="R21" s="3">
        <f t="shared" si="6"/>
        <v>247.67391790770654</v>
      </c>
      <c r="S21" s="3">
        <f t="shared" si="15"/>
        <v>128.89034337155664</v>
      </c>
      <c r="U21" s="3">
        <f t="shared" si="9"/>
        <v>22.93333333333333</v>
      </c>
      <c r="V21" s="3">
        <f t="shared" si="16"/>
        <v>5.794943019943019</v>
      </c>
      <c r="X21" s="5">
        <f t="shared" si="17"/>
        <v>0.05459355459355475</v>
      </c>
      <c r="Y21" s="5">
        <f t="shared" si="18"/>
        <v>0.05154625486316733</v>
      </c>
      <c r="Z21" s="5"/>
      <c r="AB21">
        <f t="shared" si="7"/>
        <v>164.060599446473</v>
      </c>
      <c r="AC21" s="3">
        <f t="shared" si="10"/>
        <v>283.6050192512035</v>
      </c>
      <c r="AD21" s="3">
        <f t="shared" si="11"/>
        <v>140.7002020559102</v>
      </c>
    </row>
    <row r="22" spans="1:30" ht="12.75">
      <c r="A22">
        <v>2028</v>
      </c>
      <c r="B22">
        <v>149.626</v>
      </c>
      <c r="C22" s="3">
        <v>194.66</v>
      </c>
      <c r="D22" s="3">
        <v>80.59</v>
      </c>
      <c r="E22" s="3">
        <v>33.19</v>
      </c>
      <c r="F22" s="3">
        <f t="shared" si="0"/>
        <v>80.88</v>
      </c>
      <c r="G22" s="3">
        <f t="shared" si="1"/>
        <v>3.436878577884905</v>
      </c>
      <c r="H22" s="3">
        <f t="shared" si="2"/>
        <v>1.710845491298998</v>
      </c>
      <c r="J22" s="3">
        <f t="shared" si="4"/>
        <v>349.8022619047619</v>
      </c>
      <c r="K22" s="3">
        <f t="shared" si="8"/>
        <v>438.789761904762</v>
      </c>
      <c r="L22" s="3">
        <f t="shared" si="5"/>
        <v>198.7454761904762</v>
      </c>
      <c r="M22" s="3">
        <f t="shared" si="12"/>
        <v>183.09494047619052</v>
      </c>
      <c r="N22" s="3">
        <f t="shared" si="13"/>
        <v>203.7202380952381</v>
      </c>
      <c r="O22" s="3">
        <f t="shared" si="14"/>
        <v>121.02083333333334</v>
      </c>
      <c r="Q22" s="3">
        <f t="shared" si="3"/>
        <v>110.57277499302953</v>
      </c>
      <c r="R22" s="3">
        <f t="shared" si="6"/>
        <v>258.5019100801199</v>
      </c>
      <c r="S22" s="3">
        <f t="shared" si="15"/>
        <v>135.30613433250872</v>
      </c>
      <c r="U22" s="3">
        <f t="shared" si="9"/>
        <v>28.759999999999998</v>
      </c>
      <c r="V22" s="3">
        <f t="shared" si="16"/>
        <v>5.794943019943019</v>
      </c>
      <c r="X22" s="5">
        <f t="shared" si="17"/>
        <v>0.05473204104903062</v>
      </c>
      <c r="Y22" s="5">
        <f t="shared" si="18"/>
        <v>0.04977712676625479</v>
      </c>
      <c r="Z22" s="5"/>
      <c r="AB22">
        <f t="shared" si="7"/>
        <v>167.34181143540246</v>
      </c>
      <c r="AC22" s="3">
        <f t="shared" si="10"/>
        <v>299.34929906736375</v>
      </c>
      <c r="AD22" s="3">
        <f t="shared" si="11"/>
        <v>147.73001259469774</v>
      </c>
    </row>
    <row r="23" spans="1:30" ht="12.75">
      <c r="A23">
        <v>2029</v>
      </c>
      <c r="B23">
        <v>156.801</v>
      </c>
      <c r="C23" s="3">
        <v>206.49</v>
      </c>
      <c r="D23" s="3">
        <v>82.96</v>
      </c>
      <c r="E23" s="3">
        <v>37.71</v>
      </c>
      <c r="F23" s="3">
        <f t="shared" si="0"/>
        <v>85.82000000000002</v>
      </c>
      <c r="G23" s="3">
        <f t="shared" si="1"/>
        <v>3.275788915407054</v>
      </c>
      <c r="H23" s="3">
        <f t="shared" si="2"/>
        <v>1.7111958233197981</v>
      </c>
      <c r="J23" s="3">
        <f t="shared" si="4"/>
        <v>366.5693095238096</v>
      </c>
      <c r="K23" s="3">
        <f t="shared" si="8"/>
        <v>465.45238095238096</v>
      </c>
      <c r="L23" s="3">
        <f t="shared" si="5"/>
        <v>205.92904761904765</v>
      </c>
      <c r="M23" s="3">
        <f t="shared" si="12"/>
        <v>191.91107142857146</v>
      </c>
      <c r="N23" s="3">
        <f t="shared" si="13"/>
        <v>214.86428571428573</v>
      </c>
      <c r="O23" s="3">
        <f t="shared" si="14"/>
        <v>124.72083333333335</v>
      </c>
      <c r="Q23" s="3">
        <f t="shared" si="3"/>
        <v>115.87505976021562</v>
      </c>
      <c r="R23" s="3">
        <f t="shared" si="6"/>
        <v>270.89266425171024</v>
      </c>
      <c r="S23" s="3">
        <f t="shared" si="15"/>
        <v>141.82120567109092</v>
      </c>
      <c r="U23" s="3">
        <f t="shared" si="9"/>
        <v>33.519999999999996</v>
      </c>
      <c r="V23" s="3">
        <f t="shared" si="16"/>
        <v>5.794943019943019</v>
      </c>
      <c r="X23" s="5">
        <f t="shared" si="17"/>
        <v>0.05470270270270272</v>
      </c>
      <c r="Y23" s="5">
        <f t="shared" si="18"/>
        <v>0.048150598424249624</v>
      </c>
      <c r="Z23" s="5"/>
      <c r="AB23">
        <f t="shared" si="7"/>
        <v>170.6886476641105</v>
      </c>
      <c r="AC23" s="3">
        <f t="shared" si="10"/>
        <v>315.96710563686435</v>
      </c>
      <c r="AD23" s="3">
        <f t="shared" si="11"/>
        <v>149.20668877296376</v>
      </c>
    </row>
    <row r="24" spans="1:30" ht="12.75">
      <c r="A24">
        <v>2030</v>
      </c>
      <c r="B24">
        <v>164.322</v>
      </c>
      <c r="C24" s="3">
        <v>219.05</v>
      </c>
      <c r="D24" s="3">
        <v>85.39</v>
      </c>
      <c r="E24" s="3">
        <v>42.58</v>
      </c>
      <c r="F24" s="3">
        <f t="shared" si="0"/>
        <v>91.08000000000003</v>
      </c>
      <c r="G24" s="3">
        <f t="shared" si="1"/>
        <v>3.139032409581964</v>
      </c>
      <c r="H24" s="3">
        <f t="shared" si="2"/>
        <v>1.7117293115573964</v>
      </c>
      <c r="J24" s="3">
        <f t="shared" si="4"/>
        <v>384.1461904761905</v>
      </c>
      <c r="K24" s="3">
        <f t="shared" si="8"/>
        <v>493.7292857142857</v>
      </c>
      <c r="L24" s="3">
        <f t="shared" si="5"/>
        <v>210.637380952381</v>
      </c>
      <c r="M24" s="3">
        <f t="shared" si="12"/>
        <v>201.15446428571428</v>
      </c>
      <c r="N24" s="3">
        <f t="shared" si="13"/>
        <v>226.62500000000003</v>
      </c>
      <c r="O24" s="3">
        <f t="shared" si="14"/>
        <v>128.48690476190478</v>
      </c>
      <c r="Q24" s="3">
        <f t="shared" si="3"/>
        <v>121.43303658725488</v>
      </c>
      <c r="R24" s="3">
        <f t="shared" si="6"/>
        <v>283.8818807156061</v>
      </c>
      <c r="S24" s="3">
        <f t="shared" si="15"/>
        <v>148.6520211614805</v>
      </c>
      <c r="U24" s="3">
        <f t="shared" si="9"/>
        <v>38.68</v>
      </c>
      <c r="V24" s="3">
        <f t="shared" si="16"/>
        <v>5.794943019943019</v>
      </c>
      <c r="X24" s="5">
        <f t="shared" si="17"/>
        <v>0.05473554735547359</v>
      </c>
      <c r="Y24" s="5">
        <f t="shared" si="18"/>
        <v>0.048164979687392195</v>
      </c>
      <c r="Z24" s="5"/>
      <c r="AB24">
        <f t="shared" si="7"/>
        <v>174.1024206173927</v>
      </c>
      <c r="AC24" s="3">
        <f t="shared" si="10"/>
        <v>339.19875762451437</v>
      </c>
      <c r="AD24" s="3">
        <f t="shared" si="11"/>
        <v>153.6367173077618</v>
      </c>
    </row>
    <row r="25" spans="1:30" ht="12.75">
      <c r="A25">
        <v>2031</v>
      </c>
      <c r="B25">
        <v>172.204</v>
      </c>
      <c r="C25" s="3">
        <v>232.38</v>
      </c>
      <c r="D25" s="3">
        <v>87.88</v>
      </c>
      <c r="E25" s="3">
        <v>47.83</v>
      </c>
      <c r="F25" s="3">
        <f t="shared" si="0"/>
        <v>96.67</v>
      </c>
      <c r="G25" s="3">
        <f t="shared" si="1"/>
        <v>3.0211164541083004</v>
      </c>
      <c r="H25" s="3">
        <f t="shared" si="2"/>
        <v>1.712327757718665</v>
      </c>
      <c r="J25" s="3">
        <f t="shared" si="4"/>
        <v>402.56519047619054</v>
      </c>
      <c r="K25" s="3">
        <f t="shared" si="8"/>
        <v>523.7280952380953</v>
      </c>
      <c r="L25" s="3">
        <f t="shared" si="5"/>
        <v>216.82547619047622</v>
      </c>
      <c r="M25" s="3">
        <f t="shared" si="12"/>
        <v>210.68857142857144</v>
      </c>
      <c r="N25" s="3">
        <f t="shared" si="13"/>
        <v>241.90952380952385</v>
      </c>
      <c r="O25" s="3">
        <f t="shared" si="14"/>
        <v>132.38511904761904</v>
      </c>
      <c r="Q25" s="3">
        <f t="shared" si="3"/>
        <v>127.25779039003687</v>
      </c>
      <c r="R25" s="3">
        <f t="shared" si="6"/>
        <v>297.4934184336271</v>
      </c>
      <c r="S25" s="3">
        <f t="shared" si="15"/>
        <v>155.69767287887305</v>
      </c>
      <c r="U25" s="3">
        <f t="shared" si="9"/>
        <v>44.25333333333333</v>
      </c>
      <c r="V25" s="3">
        <f t="shared" si="16"/>
        <v>5.794943019943019</v>
      </c>
      <c r="X25" s="5">
        <f t="shared" si="17"/>
        <v>0.0674441205053451</v>
      </c>
      <c r="Y25" s="5">
        <f t="shared" si="18"/>
        <v>0.047396945311217076</v>
      </c>
      <c r="Z25" s="5"/>
      <c r="AB25">
        <f t="shared" si="7"/>
        <v>177.58446902974057</v>
      </c>
      <c r="AC25" s="3">
        <f t="shared" si="10"/>
        <v>359.80982935214286</v>
      </c>
      <c r="AD25" s="3">
        <f t="shared" si="11"/>
        <v>159.18985166828332</v>
      </c>
    </row>
    <row r="26" spans="1:30" ht="12.75">
      <c r="A26">
        <v>2032</v>
      </c>
      <c r="B26">
        <v>180.124</v>
      </c>
      <c r="C26" s="3">
        <v>246.53</v>
      </c>
      <c r="D26" s="3">
        <v>90.44</v>
      </c>
      <c r="E26" s="3">
        <v>53.49</v>
      </c>
      <c r="F26" s="3">
        <f t="shared" si="0"/>
        <v>102.6</v>
      </c>
      <c r="G26" s="3">
        <f t="shared" si="1"/>
        <v>2.9181155356141333</v>
      </c>
      <c r="H26" s="3">
        <f t="shared" si="2"/>
        <v>1.7128465226151601</v>
      </c>
      <c r="J26" s="3">
        <f t="shared" si="4"/>
        <v>421.86935714285715</v>
      </c>
      <c r="K26" s="3">
        <f t="shared" si="8"/>
        <v>555.5564285714287</v>
      </c>
      <c r="L26" s="3">
        <f t="shared" si="5"/>
        <v>223.20190476190476</v>
      </c>
      <c r="M26" s="3">
        <f t="shared" si="12"/>
        <v>220.52660714285716</v>
      </c>
      <c r="N26" s="3">
        <f t="shared" si="13"/>
        <v>255.34404761904764</v>
      </c>
      <c r="O26" s="3">
        <f t="shared" si="14"/>
        <v>136.3714285714286</v>
      </c>
      <c r="Q26" s="3">
        <f t="shared" si="3"/>
        <v>133.11062597973915</v>
      </c>
      <c r="R26" s="3">
        <f t="shared" si="6"/>
        <v>311.75908935486586</v>
      </c>
      <c r="S26" s="3">
        <f t="shared" si="15"/>
        <v>162.96792610631417</v>
      </c>
      <c r="U26" s="3">
        <f t="shared" si="9"/>
        <v>50.28</v>
      </c>
      <c r="V26" s="3">
        <f t="shared" si="16"/>
        <v>6.668004115226337</v>
      </c>
      <c r="X26" s="5">
        <f t="shared" si="17"/>
        <v>0.05553532410779316</v>
      </c>
      <c r="Y26" s="5">
        <f t="shared" si="18"/>
        <v>0.046694681384847</v>
      </c>
      <c r="Z26" s="5"/>
      <c r="AB26">
        <f t="shared" si="7"/>
        <v>181.13615841033538</v>
      </c>
      <c r="AC26" s="3">
        <f t="shared" si="10"/>
        <v>381.6687964416863</v>
      </c>
      <c r="AD26" s="3">
        <f t="shared" si="11"/>
        <v>162.8295464738686</v>
      </c>
    </row>
    <row r="27" spans="1:30" ht="12.75">
      <c r="A27">
        <v>2033</v>
      </c>
      <c r="B27">
        <v>189.124</v>
      </c>
      <c r="C27" s="3">
        <v>261.54</v>
      </c>
      <c r="D27" s="3">
        <v>93.08</v>
      </c>
      <c r="E27" s="3">
        <v>59.59</v>
      </c>
      <c r="F27" s="3">
        <f t="shared" si="0"/>
        <v>108.87000000000003</v>
      </c>
      <c r="G27" s="3">
        <f t="shared" si="1"/>
        <v>2.82698439335459</v>
      </c>
      <c r="H27" s="3">
        <f t="shared" si="2"/>
        <v>1.7131067007270584</v>
      </c>
      <c r="J27" s="3">
        <f t="shared" si="4"/>
        <v>442.1044285714286</v>
      </c>
      <c r="K27" s="3">
        <f t="shared" si="8"/>
        <v>589.3488095238096</v>
      </c>
      <c r="L27" s="3">
        <f t="shared" si="5"/>
        <v>229.73976190476193</v>
      </c>
      <c r="M27" s="3">
        <f t="shared" si="12"/>
        <v>230.67297619047622</v>
      </c>
      <c r="N27" s="3">
        <f t="shared" si="13"/>
        <v>269.52738095238095</v>
      </c>
      <c r="O27" s="3">
        <f t="shared" si="14"/>
        <v>140.46785714285716</v>
      </c>
      <c r="Q27" s="3">
        <f t="shared" si="3"/>
        <v>139.76157551349175</v>
      </c>
      <c r="R27" s="3">
        <f t="shared" si="6"/>
        <v>326.7126936752334</v>
      </c>
      <c r="S27" s="3">
        <f t="shared" si="15"/>
        <v>170.46603593815237</v>
      </c>
      <c r="U27" s="3">
        <f t="shared" si="9"/>
        <v>56.773333333333326</v>
      </c>
      <c r="V27" s="3">
        <f t="shared" si="16"/>
        <v>8.719697689142132</v>
      </c>
      <c r="X27" s="5">
        <f t="shared" si="17"/>
        <v>0.05554597205451084</v>
      </c>
      <c r="Y27" s="5">
        <f t="shared" si="18"/>
        <v>0.04600972725729302</v>
      </c>
      <c r="Z27" s="5"/>
      <c r="AB27">
        <f t="shared" si="7"/>
        <v>184.7588815785421</v>
      </c>
      <c r="AC27" s="3">
        <f t="shared" si="10"/>
        <v>404.85885191727243</v>
      </c>
      <c r="AD27" s="3">
        <f t="shared" si="11"/>
        <v>167.61314536120923</v>
      </c>
    </row>
    <row r="28" spans="1:30" ht="12.75">
      <c r="A28">
        <v>2034</v>
      </c>
      <c r="B28">
        <v>198.2</v>
      </c>
      <c r="C28" s="3">
        <v>277.47</v>
      </c>
      <c r="D28" s="3">
        <v>95.78</v>
      </c>
      <c r="E28" s="3">
        <v>66.15</v>
      </c>
      <c r="F28" s="3">
        <f t="shared" si="0"/>
        <v>115.54000000000002</v>
      </c>
      <c r="G28" s="3">
        <f t="shared" si="1"/>
        <v>2.7466364323507184</v>
      </c>
      <c r="H28" s="3">
        <f t="shared" si="2"/>
        <v>1.7135181868708702</v>
      </c>
      <c r="J28" s="3">
        <f t="shared" si="4"/>
        <v>463.310761904762</v>
      </c>
      <c r="K28" s="3">
        <f t="shared" si="8"/>
        <v>625.2128571428572</v>
      </c>
      <c r="L28" s="3">
        <f t="shared" si="5"/>
        <v>236.4390476190476</v>
      </c>
      <c r="M28" s="3">
        <f t="shared" si="12"/>
        <v>240.9757142857143</v>
      </c>
      <c r="N28" s="3">
        <f t="shared" si="13"/>
        <v>284.5035714285715</v>
      </c>
      <c r="O28" s="3">
        <f t="shared" si="14"/>
        <v>144.67440476190478</v>
      </c>
      <c r="Q28" s="3">
        <f t="shared" si="3"/>
        <v>146.4686886210849</v>
      </c>
      <c r="R28" s="3">
        <f t="shared" si="6"/>
        <v>342.384055097004</v>
      </c>
      <c r="S28" s="3">
        <f t="shared" si="15"/>
        <v>178.07970161936333</v>
      </c>
      <c r="U28" s="3">
        <f t="shared" si="9"/>
        <v>63.773333333333326</v>
      </c>
      <c r="V28" s="3">
        <f t="shared" si="16"/>
        <v>10.946003482114591</v>
      </c>
      <c r="X28" s="5">
        <f t="shared" si="17"/>
        <v>0.05556463474423956</v>
      </c>
      <c r="Y28" s="5">
        <f t="shared" si="18"/>
        <v>0.044663827837079006</v>
      </c>
      <c r="Z28" s="5"/>
      <c r="AB28">
        <f t="shared" si="7"/>
        <v>188.45405921011294</v>
      </c>
      <c r="AC28" s="3">
        <f t="shared" si="10"/>
        <v>429.46318880302886</v>
      </c>
      <c r="AD28" s="3">
        <f t="shared" si="11"/>
        <v>172.54233204077323</v>
      </c>
    </row>
    <row r="29" spans="1:30" ht="12.75">
      <c r="A29">
        <v>2035</v>
      </c>
      <c r="B29">
        <v>207.712</v>
      </c>
      <c r="C29" s="3">
        <v>294.38</v>
      </c>
      <c r="D29" s="3">
        <v>98.55</v>
      </c>
      <c r="E29" s="3">
        <v>73.21</v>
      </c>
      <c r="F29" s="3">
        <f t="shared" si="0"/>
        <v>122.61999999999999</v>
      </c>
      <c r="G29" s="3">
        <f t="shared" si="1"/>
        <v>2.674907799480945</v>
      </c>
      <c r="H29" s="3">
        <f t="shared" si="2"/>
        <v>1.713903120633442</v>
      </c>
      <c r="J29" s="3">
        <f t="shared" si="4"/>
        <v>484.6193333333334</v>
      </c>
      <c r="K29" s="3">
        <f t="shared" si="8"/>
        <v>663.2830952380953</v>
      </c>
      <c r="L29" s="3">
        <f t="shared" si="5"/>
        <v>243.32666666666668</v>
      </c>
      <c r="M29" s="3">
        <f t="shared" si="12"/>
        <v>251.76077380952384</v>
      </c>
      <c r="N29" s="3">
        <f t="shared" si="13"/>
        <v>300.3166666666667</v>
      </c>
      <c r="O29" s="3">
        <f t="shared" si="14"/>
        <v>148.99107142857144</v>
      </c>
      <c r="Q29" s="3">
        <f t="shared" si="3"/>
        <v>153.49800328386877</v>
      </c>
      <c r="R29" s="3">
        <f t="shared" si="6"/>
        <v>358.13096989786965</v>
      </c>
      <c r="S29" s="3">
        <f t="shared" si="15"/>
        <v>186.04980013173835</v>
      </c>
      <c r="U29" s="3">
        <f t="shared" si="9"/>
        <v>71.32</v>
      </c>
      <c r="V29" s="3">
        <f t="shared" si="16"/>
        <v>13.357834757834757</v>
      </c>
      <c r="X29" s="5">
        <f t="shared" si="17"/>
        <v>0.055581359343551684</v>
      </c>
      <c r="Y29" s="5">
        <f t="shared" si="18"/>
        <v>0.04475579439935662</v>
      </c>
      <c r="Z29" s="5"/>
      <c r="AB29">
        <f t="shared" si="7"/>
        <v>192.2231403943152</v>
      </c>
      <c r="AC29" s="3">
        <f t="shared" si="10"/>
        <v>455.585798379115</v>
      </c>
      <c r="AD29" s="3">
        <f t="shared" si="11"/>
        <v>177.5963082565288</v>
      </c>
    </row>
    <row r="30" spans="1:30" ht="12.75">
      <c r="A30">
        <v>2036</v>
      </c>
      <c r="B30">
        <v>217.682</v>
      </c>
      <c r="C30" s="3">
        <v>312.33</v>
      </c>
      <c r="D30" s="3">
        <v>101.4</v>
      </c>
      <c r="E30" s="3">
        <v>80.79</v>
      </c>
      <c r="F30" s="3">
        <f t="shared" si="0"/>
        <v>130.14</v>
      </c>
      <c r="G30" s="3">
        <f t="shared" si="1"/>
        <v>2.6108429261047155</v>
      </c>
      <c r="H30" s="3">
        <f t="shared" si="2"/>
        <v>1.7143092376090894</v>
      </c>
      <c r="J30" s="3">
        <f t="shared" si="4"/>
        <v>508.8336190476191</v>
      </c>
      <c r="K30" s="3">
        <f t="shared" si="8"/>
        <v>703.667142857143</v>
      </c>
      <c r="L30" s="3">
        <f t="shared" si="5"/>
        <v>250.42952380952383</v>
      </c>
      <c r="M30" s="3">
        <f t="shared" si="12"/>
        <v>263.0501785714286</v>
      </c>
      <c r="N30" s="3">
        <f t="shared" si="13"/>
        <v>316.9886904761905</v>
      </c>
      <c r="O30" s="3">
        <f t="shared" si="14"/>
        <v>156.43511904761905</v>
      </c>
      <c r="Q30" s="3">
        <f t="shared" si="3"/>
        <v>160.86577737848137</v>
      </c>
      <c r="R30" s="3">
        <f t="shared" si="6"/>
        <v>376.0251912624897</v>
      </c>
      <c r="S30" s="3">
        <f t="shared" si="15"/>
        <v>194.39260694702</v>
      </c>
      <c r="U30" s="3">
        <f t="shared" si="9"/>
        <v>79.45333333333333</v>
      </c>
      <c r="V30" s="3">
        <f t="shared" si="16"/>
        <v>15.96610477999367</v>
      </c>
      <c r="X30" s="5">
        <f t="shared" si="17"/>
        <v>0.055514813728366086</v>
      </c>
      <c r="Y30" s="5">
        <f t="shared" si="18"/>
        <v>0.04484179402167743</v>
      </c>
      <c r="Z30" s="5"/>
      <c r="AB30">
        <f t="shared" si="7"/>
        <v>196.06760320220152</v>
      </c>
      <c r="AC30" s="3">
        <f t="shared" si="10"/>
        <v>483.3098736696587</v>
      </c>
      <c r="AD30" s="3">
        <f t="shared" si="11"/>
        <v>182.7750740084758</v>
      </c>
    </row>
    <row r="31" spans="1:30" ht="12.75">
      <c r="A31">
        <v>2037</v>
      </c>
      <c r="B31">
        <v>228.132</v>
      </c>
      <c r="C31" s="3">
        <v>331.38</v>
      </c>
      <c r="D31" s="3">
        <v>104.33</v>
      </c>
      <c r="E31" s="3">
        <v>88.94</v>
      </c>
      <c r="F31" s="3">
        <f t="shared" si="0"/>
        <v>138.11</v>
      </c>
      <c r="G31" s="3">
        <f t="shared" si="1"/>
        <v>2.5528446143467507</v>
      </c>
      <c r="H31" s="3">
        <f t="shared" si="2"/>
        <v>1.7145961608113003</v>
      </c>
      <c r="J31" s="3">
        <f t="shared" si="4"/>
        <v>533.2523809523809</v>
      </c>
      <c r="K31" s="3">
        <f t="shared" si="8"/>
        <v>746.5264285714287</v>
      </c>
      <c r="L31" s="3">
        <f t="shared" si="5"/>
        <v>257.69380952380953</v>
      </c>
      <c r="M31" s="3">
        <f t="shared" si="12"/>
        <v>274.34839285714287</v>
      </c>
      <c r="N31" s="3">
        <f t="shared" si="13"/>
        <v>334.5857142857143</v>
      </c>
      <c r="O31" s="3">
        <f t="shared" si="14"/>
        <v>157.9988095238095</v>
      </c>
      <c r="Q31" s="3">
        <f t="shared" si="3"/>
        <v>168.58826878156077</v>
      </c>
      <c r="R31" s="3">
        <f t="shared" si="6"/>
        <v>394.07051938529986</v>
      </c>
      <c r="S31" s="3">
        <f t="shared" si="15"/>
        <v>202.74192395099868</v>
      </c>
      <c r="U31" s="3">
        <f t="shared" si="9"/>
        <v>88.2</v>
      </c>
      <c r="V31" s="3">
        <f t="shared" si="16"/>
        <v>18.770813548591324</v>
      </c>
      <c r="X31" s="5">
        <f t="shared" si="17"/>
        <v>0.0555130966442019</v>
      </c>
      <c r="Y31" s="5">
        <f t="shared" si="18"/>
        <v>0.04295079496646803</v>
      </c>
      <c r="Z31" s="5"/>
      <c r="AB31">
        <f t="shared" si="7"/>
        <v>199.98895526624557</v>
      </c>
      <c r="AC31" s="3">
        <f t="shared" si="10"/>
        <v>512.7394059548195</v>
      </c>
      <c r="AD31" s="3">
        <f t="shared" si="11"/>
        <v>188.09942755264623</v>
      </c>
    </row>
    <row r="32" spans="1:30" ht="12.75">
      <c r="A32">
        <v>2038</v>
      </c>
      <c r="B32">
        <v>239.085</v>
      </c>
      <c r="C32" s="3">
        <v>351.6</v>
      </c>
      <c r="D32" s="3">
        <v>107.33</v>
      </c>
      <c r="E32" s="3">
        <v>97.69</v>
      </c>
      <c r="F32" s="3">
        <f t="shared" si="0"/>
        <v>146.58000000000004</v>
      </c>
      <c r="G32" s="3">
        <f t="shared" si="1"/>
        <v>2.500460640802539</v>
      </c>
      <c r="H32" s="3">
        <f t="shared" si="2"/>
        <v>1.7149546385718468</v>
      </c>
      <c r="J32" s="3">
        <f t="shared" si="4"/>
        <v>558.8441904761905</v>
      </c>
      <c r="K32" s="3">
        <f t="shared" si="8"/>
        <v>792.022380952381</v>
      </c>
      <c r="L32" s="3">
        <f t="shared" si="5"/>
        <v>265.1464285714286</v>
      </c>
      <c r="M32" s="3">
        <f t="shared" si="12"/>
        <v>286.34255952380954</v>
      </c>
      <c r="N32" s="3">
        <f t="shared" si="13"/>
        <v>359.18630952380954</v>
      </c>
      <c r="O32" s="3">
        <f t="shared" si="14"/>
        <v>162.68988095238097</v>
      </c>
      <c r="Q32" s="3">
        <f t="shared" si="3"/>
        <v>176.68247436413768</v>
      </c>
      <c r="R32" s="3">
        <f t="shared" si="6"/>
        <v>412.9827231208851</v>
      </c>
      <c r="S32" s="3">
        <f t="shared" si="15"/>
        <v>211.6055458620451</v>
      </c>
      <c r="U32" s="3">
        <f t="shared" si="9"/>
        <v>97.61333333333332</v>
      </c>
      <c r="V32" s="3">
        <f t="shared" si="16"/>
        <v>23.539909781576444</v>
      </c>
      <c r="X32" s="5">
        <f t="shared" si="17"/>
        <v>0.07352553975776721</v>
      </c>
      <c r="Y32" s="5">
        <f t="shared" si="18"/>
        <v>0.0437187422231855</v>
      </c>
      <c r="Z32" s="5"/>
      <c r="AB32">
        <f t="shared" si="7"/>
        <v>203.98873437157047</v>
      </c>
      <c r="AC32" s="3">
        <f t="shared" si="10"/>
        <v>543.9575882587252</v>
      </c>
      <c r="AD32" s="3">
        <f t="shared" si="11"/>
        <v>193.590167145072</v>
      </c>
    </row>
    <row r="33" spans="1:30" ht="12.75">
      <c r="A33">
        <v>2039</v>
      </c>
      <c r="B33">
        <v>250.565</v>
      </c>
      <c r="C33" s="3">
        <v>373.06</v>
      </c>
      <c r="D33" s="3">
        <v>110.42</v>
      </c>
      <c r="E33" s="3">
        <v>-0.16</v>
      </c>
      <c r="F33" s="3">
        <f t="shared" si="0"/>
        <v>262.8</v>
      </c>
      <c r="G33" s="3"/>
      <c r="H33" s="3"/>
      <c r="J33" s="3">
        <f t="shared" si="4"/>
        <v>585.668238095238</v>
      </c>
      <c r="K33" s="3">
        <f t="shared" si="8"/>
        <v>840.3164285714286</v>
      </c>
      <c r="L33" s="3">
        <f t="shared" si="5"/>
        <v>272.81428571428575</v>
      </c>
      <c r="M33" s="3">
        <f t="shared" si="12"/>
        <v>300.06779761904767</v>
      </c>
      <c r="N33" s="3">
        <f t="shared" si="13"/>
        <v>381.0119047619048</v>
      </c>
      <c r="O33" s="3">
        <f t="shared" si="14"/>
        <v>168.57023809523812</v>
      </c>
      <c r="Q33" s="3">
        <f t="shared" si="3"/>
        <v>185.16612999163544</v>
      </c>
      <c r="R33" s="3">
        <f t="shared" si="6"/>
        <v>432.8055438992475</v>
      </c>
      <c r="S33" s="3">
        <f t="shared" si="15"/>
        <v>221.74841985206368</v>
      </c>
      <c r="U33" s="3">
        <f t="shared" si="9"/>
        <v>107.72</v>
      </c>
      <c r="V33" s="3">
        <f t="shared" si="16"/>
        <v>27.43594491927825</v>
      </c>
      <c r="X33" s="5">
        <f t="shared" si="17"/>
        <v>0.060763995339996324</v>
      </c>
      <c r="Y33" s="5">
        <f t="shared" si="18"/>
        <v>0.04793293081567507</v>
      </c>
      <c r="AB33">
        <f t="shared" si="7"/>
        <v>208.06850905900188</v>
      </c>
      <c r="AC33" s="3">
        <f t="shared" si="10"/>
        <v>577.089210117567</v>
      </c>
      <c r="AD33" s="3">
        <f t="shared" si="11"/>
        <v>199.20569627368926</v>
      </c>
    </row>
    <row r="34" spans="1:30" ht="12.75">
      <c r="A34">
        <v>2040</v>
      </c>
      <c r="B34">
        <v>262.598</v>
      </c>
      <c r="J34" s="3">
        <f t="shared" si="4"/>
        <v>613.7837142857144</v>
      </c>
      <c r="K34" s="3">
        <f t="shared" si="8"/>
        <v>891.57</v>
      </c>
      <c r="L34" s="3">
        <f t="shared" si="5"/>
        <v>280.69738095238097</v>
      </c>
      <c r="M34" s="3">
        <f t="shared" si="12"/>
        <v>314.4559523809524</v>
      </c>
      <c r="N34" s="3">
        <f t="shared" si="13"/>
        <v>404.1589285714286</v>
      </c>
      <c r="O34" s="3">
        <f t="shared" si="14"/>
        <v>172.42440476190478</v>
      </c>
      <c r="Q34" s="3">
        <f t="shared" si="3"/>
        <v>194.05844951826268</v>
      </c>
      <c r="R34" s="3">
        <f t="shared" si="6"/>
        <v>453.58272315038977</v>
      </c>
      <c r="S34" s="3">
        <f t="shared" si="15"/>
        <v>232.38118554153596</v>
      </c>
      <c r="U34" s="3">
        <f t="shared" si="9"/>
        <v>118.58666666666666</v>
      </c>
      <c r="V34" s="3">
        <f t="shared" si="16"/>
        <v>31.6593779677113</v>
      </c>
      <c r="X34" s="5">
        <f t="shared" si="17"/>
        <v>0.06075144508670505</v>
      </c>
      <c r="Y34" s="5">
        <f t="shared" si="18"/>
        <v>0.047949679625973296</v>
      </c>
      <c r="AB34">
        <f t="shared" si="7"/>
        <v>212.22987924018193</v>
      </c>
      <c r="AC34" s="3">
        <f t="shared" si="10"/>
        <v>612.2590610675365</v>
      </c>
      <c r="AD34" s="3">
        <f t="shared" si="11"/>
        <v>204.96681319452995</v>
      </c>
    </row>
    <row r="35" spans="1:30" ht="12.75">
      <c r="A35">
        <v>2041</v>
      </c>
      <c r="J35" s="3">
        <f t="shared" si="4"/>
        <v>643.2525</v>
      </c>
      <c r="K35" s="3">
        <f t="shared" si="8"/>
        <v>945.9714285714288</v>
      </c>
      <c r="L35" s="3">
        <f t="shared" si="5"/>
        <v>288.7688095238095</v>
      </c>
      <c r="M35" s="3">
        <f t="shared" si="12"/>
        <v>329.53345238095244</v>
      </c>
      <c r="N35" s="3">
        <f t="shared" si="13"/>
        <v>428.71547619047624</v>
      </c>
      <c r="O35" s="3">
        <f t="shared" si="14"/>
        <v>177.489880952381</v>
      </c>
      <c r="Q35" s="3"/>
      <c r="R35" s="3">
        <f t="shared" si="6"/>
        <v>475.3599905511324</v>
      </c>
      <c r="S35" s="3">
        <f t="shared" si="15"/>
        <v>243.52337349655318</v>
      </c>
      <c r="U35" s="3">
        <f t="shared" si="9"/>
        <v>130.25333333333333</v>
      </c>
      <c r="V35" s="3">
        <f t="shared" si="16"/>
        <v>36.22112219056663</v>
      </c>
      <c r="X35" s="5">
        <f t="shared" si="17"/>
        <v>0.06075963162770437</v>
      </c>
      <c r="Y35" s="5">
        <f t="shared" si="18"/>
        <v>0.04794789186160542</v>
      </c>
      <c r="AB35">
        <f t="shared" si="7"/>
        <v>216.47447682498557</v>
      </c>
      <c r="AC35" s="3">
        <f t="shared" si="10"/>
        <v>649.5919306448253</v>
      </c>
      <c r="AD35" s="3">
        <f t="shared" si="11"/>
        <v>210.89431616362594</v>
      </c>
    </row>
    <row r="36" spans="1:30" ht="12.75">
      <c r="A36">
        <v>2042</v>
      </c>
      <c r="J36" s="3">
        <f t="shared" si="4"/>
        <v>674.1391666666667</v>
      </c>
      <c r="K36" s="3">
        <f t="shared" si="8"/>
        <v>1003.7090476190477</v>
      </c>
      <c r="L36" s="3">
        <f t="shared" si="5"/>
        <v>297.08238095238096</v>
      </c>
      <c r="M36" s="3">
        <f t="shared" si="12"/>
        <v>345.3355357142857</v>
      </c>
      <c r="N36" s="3">
        <f t="shared" si="13"/>
        <v>454.7696428571429</v>
      </c>
      <c r="O36" s="3">
        <f t="shared" si="14"/>
        <v>182.7095238095238</v>
      </c>
      <c r="Q36" s="3"/>
      <c r="R36" s="3">
        <f t="shared" si="6"/>
        <v>498.1850640251144</v>
      </c>
      <c r="S36" s="3">
        <f t="shared" si="15"/>
        <v>255.20102447190345</v>
      </c>
      <c r="U36" s="3">
        <f t="shared" si="9"/>
        <v>-0.21333333333333332</v>
      </c>
      <c r="V36" s="3">
        <f t="shared" si="16"/>
        <v>41.15391737891738</v>
      </c>
      <c r="X36" s="5">
        <f t="shared" si="17"/>
        <v>0.060772629199630224</v>
      </c>
      <c r="Y36" s="5">
        <f t="shared" si="18"/>
        <v>0.047952895887078295</v>
      </c>
      <c r="AB36">
        <f t="shared" si="7"/>
        <v>220.8039663614853</v>
      </c>
      <c r="AC36" s="3">
        <f t="shared" si="10"/>
        <v>689.2126083856249</v>
      </c>
      <c r="AD36" s="3">
        <f t="shared" si="11"/>
        <v>216.98820518097725</v>
      </c>
    </row>
    <row r="37" spans="1:30" ht="12.75">
      <c r="A37">
        <v>2043</v>
      </c>
      <c r="M37" s="3">
        <f t="shared" si="12"/>
        <v>361.8996428571429</v>
      </c>
      <c r="N37" s="3">
        <f t="shared" si="13"/>
        <v>482.4315476190477</v>
      </c>
      <c r="O37" s="3">
        <f t="shared" si="14"/>
        <v>188.06130952380954</v>
      </c>
      <c r="Q37" s="3"/>
      <c r="S37" s="3">
        <f t="shared" si="15"/>
        <v>267.4418067695495</v>
      </c>
      <c r="V37" s="3">
        <f t="shared" si="16"/>
        <v>46.46867679645457</v>
      </c>
      <c r="X37" s="5">
        <f t="shared" si="17"/>
        <v>0.060826190130272684</v>
      </c>
      <c r="Y37" s="5">
        <f t="shared" si="18"/>
        <v>0.04796525532362694</v>
      </c>
      <c r="AB37">
        <f t="shared" si="7"/>
        <v>225.220045688715</v>
      </c>
      <c r="AC37" s="3">
        <f t="shared" si="10"/>
        <v>731.2666820821587</v>
      </c>
      <c r="AD37" s="3">
        <f t="shared" si="11"/>
        <v>223.22768199055196</v>
      </c>
    </row>
    <row r="38" spans="1:30" ht="12.75">
      <c r="A38">
        <v>2044</v>
      </c>
      <c r="M38" s="3">
        <f t="shared" si="12"/>
        <v>379.2588095238096</v>
      </c>
      <c r="N38" s="3">
        <f t="shared" si="13"/>
        <v>511.78928571428577</v>
      </c>
      <c r="O38" s="3">
        <f t="shared" si="14"/>
        <v>193.5452380952381</v>
      </c>
      <c r="Q38" s="3"/>
      <c r="S38" s="3">
        <f t="shared" si="15"/>
        <v>280.2701335971051</v>
      </c>
      <c r="V38" s="3">
        <f t="shared" si="16"/>
        <v>52.19814023425133</v>
      </c>
      <c r="X38" s="5">
        <f t="shared" si="17"/>
        <v>0.06085368637297406</v>
      </c>
      <c r="Y38" s="5">
        <f t="shared" si="18"/>
        <v>0.047966796898772035</v>
      </c>
      <c r="AB38">
        <f t="shared" si="7"/>
        <v>229.7244466024893</v>
      </c>
      <c r="AC38" s="3">
        <f t="shared" si="10"/>
        <v>775.8997395266498</v>
      </c>
      <c r="AD38" s="3">
        <f t="shared" si="11"/>
        <v>229.65434310441395</v>
      </c>
    </row>
    <row r="39" spans="1:25" ht="12.75">
      <c r="A39">
        <v>2045</v>
      </c>
      <c r="M39" s="3">
        <f t="shared" si="12"/>
        <v>396.7016666666667</v>
      </c>
      <c r="N39" s="3">
        <f t="shared" si="13"/>
        <v>542.9529761904762</v>
      </c>
      <c r="O39" s="3">
        <f t="shared" si="14"/>
        <v>199.18333333333334</v>
      </c>
      <c r="Q39" s="3"/>
      <c r="S39" s="3">
        <f t="shared" si="15"/>
        <v>293.1603072172827</v>
      </c>
      <c r="V39" s="3">
        <f t="shared" si="16"/>
        <v>58.37504748338081</v>
      </c>
      <c r="X39" s="5">
        <f t="shared" si="17"/>
        <v>0.060891642998536666</v>
      </c>
      <c r="Y39" s="5">
        <f t="shared" si="18"/>
        <v>0.04599196302060338</v>
      </c>
    </row>
    <row r="40" spans="1:25" ht="12.75">
      <c r="A40">
        <v>2046</v>
      </c>
      <c r="M40" s="3">
        <f t="shared" si="12"/>
        <v>416.52309523809527</v>
      </c>
      <c r="N40" s="3">
        <f t="shared" si="13"/>
        <v>576.0107142857144</v>
      </c>
      <c r="O40" s="3">
        <f t="shared" si="14"/>
        <v>204.99761904761905</v>
      </c>
      <c r="Q40" s="3"/>
      <c r="S40" s="3">
        <f t="shared" si="15"/>
        <v>307.80823178566635</v>
      </c>
      <c r="V40" s="3">
        <f t="shared" si="16"/>
        <v>65.03213833491611</v>
      </c>
      <c r="X40" s="5">
        <f t="shared" si="17"/>
        <v>0.060885084979515725</v>
      </c>
      <c r="Y40" s="5">
        <f t="shared" si="18"/>
        <v>0.04996557926761547</v>
      </c>
    </row>
    <row r="41" spans="1:25" ht="12.75">
      <c r="A41">
        <v>2047</v>
      </c>
      <c r="M41" s="3">
        <f t="shared" si="12"/>
        <v>436.51190476190476</v>
      </c>
      <c r="N41" s="3">
        <f t="shared" si="13"/>
        <v>611.094642857143</v>
      </c>
      <c r="O41" s="3">
        <f t="shared" si="14"/>
        <v>210.94404761904764</v>
      </c>
      <c r="Q41" s="3"/>
      <c r="S41" s="3">
        <f t="shared" si="15"/>
        <v>322.57984993929415</v>
      </c>
      <c r="V41" s="3">
        <f t="shared" si="16"/>
        <v>72.19123931623932</v>
      </c>
      <c r="X41" s="5">
        <f t="shared" si="17"/>
        <v>0.06090846524432214</v>
      </c>
      <c r="Y41" s="5">
        <f t="shared" si="18"/>
        <v>0.04798967872929927</v>
      </c>
    </row>
    <row r="42" spans="1:25" ht="12.75">
      <c r="A42">
        <v>2048</v>
      </c>
      <c r="M42" s="3">
        <f t="shared" si="12"/>
        <v>457.4609523809524</v>
      </c>
      <c r="N42" s="3">
        <f t="shared" si="13"/>
        <v>648.3369047619047</v>
      </c>
      <c r="O42" s="3">
        <f t="shared" si="14"/>
        <v>217.04464285714286</v>
      </c>
      <c r="Q42" s="3"/>
      <c r="S42" s="3">
        <f t="shared" si="15"/>
        <v>338.0610786609015</v>
      </c>
      <c r="V42" s="3">
        <f t="shared" si="16"/>
        <v>79.89600348211458</v>
      </c>
      <c r="X42" s="5">
        <f t="shared" si="17"/>
        <v>0.060943525426172096</v>
      </c>
      <c r="Y42" s="5">
        <f t="shared" si="18"/>
        <v>0.047991927346115126</v>
      </c>
    </row>
    <row r="43" spans="1:25" ht="12.75">
      <c r="A43">
        <v>2049</v>
      </c>
      <c r="M43" s="3">
        <f t="shared" si="12"/>
        <v>479.4186904761905</v>
      </c>
      <c r="N43" s="3">
        <f t="shared" si="13"/>
        <v>687.8696428571428</v>
      </c>
      <c r="O43" s="3">
        <f t="shared" si="14"/>
        <v>223.3214285714286</v>
      </c>
      <c r="Q43" s="3"/>
      <c r="S43" s="3">
        <f t="shared" si="15"/>
        <v>354.28772398832206</v>
      </c>
      <c r="V43" s="3">
        <f t="shared" si="16"/>
        <v>88.16825735992403</v>
      </c>
      <c r="X43" s="5">
        <f t="shared" si="17"/>
        <v>0.060975609756097615</v>
      </c>
      <c r="Y43" s="5">
        <f t="shared" si="18"/>
        <v>0.04799915267293153</v>
      </c>
    </row>
    <row r="44" spans="1:25" ht="12.75">
      <c r="A44">
        <v>2050</v>
      </c>
      <c r="M44" s="3">
        <f t="shared" si="12"/>
        <v>502.4335714285715</v>
      </c>
      <c r="N44" s="3">
        <f t="shared" si="13"/>
        <v>729.825</v>
      </c>
      <c r="O44" s="3">
        <f t="shared" si="14"/>
        <v>229.77440476190478</v>
      </c>
      <c r="Q44" s="3"/>
      <c r="S44" s="3">
        <f t="shared" si="15"/>
        <v>371.29559195938987</v>
      </c>
      <c r="V44" s="3">
        <f t="shared" si="16"/>
        <v>97.0625672681228</v>
      </c>
      <c r="X44" s="5">
        <f t="shared" si="17"/>
        <v>0.06099318029007783</v>
      </c>
      <c r="Y44" s="5">
        <f t="shared" si="18"/>
        <v>0.048005806635367465</v>
      </c>
    </row>
    <row r="45" spans="1:25" ht="12.75">
      <c r="A45">
        <v>2051</v>
      </c>
      <c r="M45" s="3">
        <f t="shared" si="12"/>
        <v>526.5562500000001</v>
      </c>
      <c r="N45" s="3">
        <f t="shared" si="13"/>
        <v>774.357142857143</v>
      </c>
      <c r="O45" s="3">
        <f t="shared" si="14"/>
        <v>236.38154761904764</v>
      </c>
      <c r="Q45" s="3"/>
      <c r="S45" s="3">
        <f t="shared" si="15"/>
        <v>389.1221161591128</v>
      </c>
      <c r="V45" s="3">
        <f t="shared" si="16"/>
        <v>106.6116729977841</v>
      </c>
      <c r="X45" s="5">
        <f t="shared" si="17"/>
        <v>0.06101756291870375</v>
      </c>
      <c r="Y45" s="5">
        <f t="shared" si="18"/>
        <v>0.048011677449897316</v>
      </c>
    </row>
    <row r="46" spans="1:25" ht="12.75">
      <c r="A46">
        <v>2052</v>
      </c>
      <c r="M46" s="3">
        <f t="shared" si="12"/>
        <v>551.8395833333334</v>
      </c>
      <c r="N46" s="3">
        <f t="shared" si="13"/>
        <v>821.6202380952382</v>
      </c>
      <c r="O46" s="3">
        <f t="shared" si="14"/>
        <v>243.18690476190477</v>
      </c>
      <c r="Q46" s="3"/>
      <c r="S46" s="3">
        <f t="shared" si="15"/>
        <v>407.8063577196733</v>
      </c>
      <c r="V46" s="3">
        <f t="shared" si="16"/>
        <v>-0.1746122190566635</v>
      </c>
      <c r="X46" s="5">
        <f t="shared" si="17"/>
        <v>0.06103526734926046</v>
      </c>
      <c r="Y46" s="5">
        <f t="shared" si="18"/>
        <v>0.04801639584248263</v>
      </c>
    </row>
    <row r="47" ht="12.75">
      <c r="N47" s="3"/>
    </row>
    <row r="48" spans="1:30" ht="12.75">
      <c r="A48" t="s">
        <v>140</v>
      </c>
      <c r="B48" s="3">
        <f>SUM(B4:B28)</f>
        <v>3008.022</v>
      </c>
      <c r="C48" s="3">
        <f>SUM(C4:C28)</f>
        <v>3741.8599999999997</v>
      </c>
      <c r="D48" s="3">
        <f>SUM(D4:D28)</f>
        <v>1700.7099999999998</v>
      </c>
      <c r="E48" s="3">
        <f>SUM(E4:E28)</f>
        <v>533.03</v>
      </c>
      <c r="F48" s="3">
        <f>SUM(F4:F28)</f>
        <v>1508.1200000000001</v>
      </c>
      <c r="J48" s="3">
        <f aca="true" t="shared" si="19" ref="J48:V48">SUM(J4:J28)</f>
        <v>6566.306238095241</v>
      </c>
      <c r="K48" s="3">
        <f t="shared" si="19"/>
        <v>7953.908571428572</v>
      </c>
      <c r="L48" s="3">
        <f t="shared" si="19"/>
        <v>3824.2697619047626</v>
      </c>
      <c r="M48" s="3">
        <f t="shared" si="19"/>
        <v>2269.0205952380957</v>
      </c>
      <c r="N48" s="3">
        <f t="shared" si="19"/>
        <v>2536.98869047619</v>
      </c>
      <c r="O48" s="3">
        <f t="shared" si="19"/>
        <v>1421.5708333333332</v>
      </c>
      <c r="P48" s="3"/>
      <c r="Q48" s="3">
        <f t="shared" si="19"/>
        <v>2222.911390935283</v>
      </c>
      <c r="R48" s="3">
        <f t="shared" si="19"/>
        <v>4852.463490304032</v>
      </c>
      <c r="S48" s="3">
        <f>SUM(S4:S28)</f>
        <v>1676.7934966637608</v>
      </c>
      <c r="T48" s="3"/>
      <c r="U48" s="3">
        <f t="shared" si="19"/>
        <v>471.73333333333323</v>
      </c>
      <c r="V48" s="3">
        <f t="shared" si="19"/>
        <v>79.33942703387147</v>
      </c>
      <c r="X48" s="163">
        <f>AVERAGE(X29:X46)</f>
        <v>0.060695151455214216</v>
      </c>
      <c r="Y48" s="163">
        <f>AVERAGE(Y29:Y46)</f>
        <v>0.04710859761042949</v>
      </c>
      <c r="AC48" s="3">
        <f>SUM(AC4:AC47)</f>
        <v>11240.646253265231</v>
      </c>
      <c r="AD48" s="3">
        <f>SUM(AD4:AD47)</f>
        <v>4622.911561238046</v>
      </c>
    </row>
    <row r="49" spans="1:30" ht="12.75">
      <c r="A49" t="s">
        <v>139</v>
      </c>
      <c r="B49" s="3">
        <f>AVERAGE(B4:B28)</f>
        <v>120.32088</v>
      </c>
      <c r="C49" s="3">
        <f>AVERAGE(C4:C28)</f>
        <v>149.6744</v>
      </c>
      <c r="D49" s="3">
        <f>AVERAGE(D4:D28)</f>
        <v>68.02839999999999</v>
      </c>
      <c r="F49" s="3">
        <f>AVERAGE(F4:F28)</f>
        <v>60.3248</v>
      </c>
      <c r="J49" s="3">
        <f aca="true" t="shared" si="20" ref="J49:O49">AVERAGE(J4:J28)</f>
        <v>298.4684653679655</v>
      </c>
      <c r="K49" s="3">
        <f t="shared" si="20"/>
        <v>361.54129870129873</v>
      </c>
      <c r="L49" s="3">
        <f t="shared" si="20"/>
        <v>173.83044372294376</v>
      </c>
      <c r="M49" s="3">
        <f t="shared" si="20"/>
        <v>189.08504960317464</v>
      </c>
      <c r="N49" s="3">
        <f t="shared" si="20"/>
        <v>211.41572420634918</v>
      </c>
      <c r="O49" s="3">
        <f t="shared" si="20"/>
        <v>118.4642361111111</v>
      </c>
      <c r="Q49" s="3">
        <f>AVERAGE(Q4:Q28)</f>
        <v>88.91645563741133</v>
      </c>
      <c r="R49" s="3">
        <f>AVERAGE(R4:R28)</f>
        <v>220.56652228654693</v>
      </c>
      <c r="S49" s="3">
        <f>AVERAGE(S4:S28)</f>
        <v>139.73279138864675</v>
      </c>
      <c r="U49" s="3">
        <f>AVERAGE(U4:U28)</f>
        <v>21.442424242424238</v>
      </c>
      <c r="V49" s="3">
        <f>AVERAGE(V4:V28)</f>
        <v>6.611618919489289</v>
      </c>
      <c r="AC49" s="3">
        <f>AVERAGE(AC4:AC44)</f>
        <v>374.68820844217436</v>
      </c>
      <c r="AD49" s="3">
        <f>AVERAGE(AD4:AD44)</f>
        <v>154.0970520412682</v>
      </c>
    </row>
    <row r="50" spans="10:30" ht="12.75">
      <c r="J50" s="7">
        <f>J49/$B49</f>
        <v>2.4806040761002204</v>
      </c>
      <c r="K50" s="7">
        <f>K49/$C49</f>
        <v>2.4155186104056456</v>
      </c>
      <c r="L50" s="7">
        <f>L49/$D49</f>
        <v>2.5552628567325377</v>
      </c>
      <c r="M50" s="7">
        <f>M49/$B49</f>
        <v>1.5715065382099485</v>
      </c>
      <c r="N50" s="7">
        <f>N49/$C49</f>
        <v>1.4125042372399634</v>
      </c>
      <c r="O50" s="7">
        <f>O49/$D49</f>
        <v>1.7413938312691628</v>
      </c>
      <c r="Q50" s="7">
        <f>Q49/$B49</f>
        <v>0.7389943926391772</v>
      </c>
      <c r="R50" s="7">
        <f>R49/$J49</f>
        <v>0.7389943926391771</v>
      </c>
      <c r="S50" s="7">
        <f>S49/$M49</f>
        <v>0.7389943926391772</v>
      </c>
      <c r="AC50" s="7">
        <f>AC49/$J49</f>
        <v>1.2553695010300057</v>
      </c>
      <c r="AD50" s="7">
        <f>AD49/$J49</f>
        <v>0.5162925733252601</v>
      </c>
    </row>
    <row r="51" ht="12.75">
      <c r="F51" s="4">
        <f>NPV(0.06,F4:F33)</f>
        <v>786.8998543857493</v>
      </c>
    </row>
    <row r="52" spans="11:12" ht="12.75">
      <c r="K52">
        <f>157.7/436</f>
        <v>0.361697247706422</v>
      </c>
      <c r="L52">
        <f>L49/K49</f>
        <v>0.4808038372030092</v>
      </c>
    </row>
    <row r="53" spans="11:13" ht="12.75">
      <c r="K53" s="3">
        <f>K49*K52</f>
        <v>130.76849267246516</v>
      </c>
      <c r="L53" s="3"/>
      <c r="M53" s="3"/>
    </row>
  </sheetData>
  <mergeCells count="1">
    <mergeCell ref="A1:H1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3" max="3" width="9.28125" style="0" bestFit="1" customWidth="1"/>
    <col min="4" max="4" width="11.140625" style="0" customWidth="1"/>
  </cols>
  <sheetData>
    <row r="1" ht="18">
      <c r="A1" s="94" t="s">
        <v>72</v>
      </c>
    </row>
    <row r="3" spans="1:4" ht="12.75">
      <c r="A3" s="1" t="s">
        <v>73</v>
      </c>
      <c r="B3" s="95">
        <f>'Summ-Outlays'!N9</f>
        <v>84</v>
      </c>
      <c r="C3" s="95">
        <f>'Summ-Outlays'!N11</f>
        <v>226</v>
      </c>
      <c r="D3" s="95">
        <f>'Summ-Outlays'!N13</f>
        <v>185</v>
      </c>
    </row>
    <row r="5" spans="1:4" ht="12.75">
      <c r="A5" s="2" t="s">
        <v>0</v>
      </c>
      <c r="B5" s="2" t="s">
        <v>58</v>
      </c>
      <c r="C5" s="2" t="s">
        <v>59</v>
      </c>
      <c r="D5" s="2" t="s">
        <v>74</v>
      </c>
    </row>
    <row r="6" spans="1:2" ht="12.75">
      <c r="A6">
        <v>2004</v>
      </c>
      <c r="B6" s="3"/>
    </row>
    <row r="7" spans="1:2" ht="12.75">
      <c r="A7">
        <v>2005</v>
      </c>
      <c r="B7" s="3"/>
    </row>
    <row r="8" spans="1:2" ht="12.75">
      <c r="A8">
        <v>2006</v>
      </c>
      <c r="B8" s="3"/>
    </row>
    <row r="9" spans="1:2" ht="12.75">
      <c r="A9">
        <v>2007</v>
      </c>
      <c r="B9" s="3"/>
    </row>
    <row r="10" spans="1:2" ht="12.75">
      <c r="A10">
        <v>2008</v>
      </c>
      <c r="B10" s="3"/>
    </row>
    <row r="11" spans="1:2" ht="12.75">
      <c r="A11">
        <v>2009</v>
      </c>
      <c r="B11" s="3"/>
    </row>
    <row r="12" spans="1:2" ht="12.75">
      <c r="A12">
        <v>2010</v>
      </c>
      <c r="B12" s="3">
        <v>12.31</v>
      </c>
    </row>
    <row r="13" spans="1:2" ht="12.75">
      <c r="A13">
        <v>2011</v>
      </c>
      <c r="B13" s="3">
        <v>12.66</v>
      </c>
    </row>
    <row r="14" spans="1:2" ht="12.75">
      <c r="A14">
        <v>2012</v>
      </c>
      <c r="B14" s="3">
        <v>13.35</v>
      </c>
    </row>
    <row r="15" spans="1:3" ht="12.75">
      <c r="A15">
        <v>2013</v>
      </c>
      <c r="B15" s="3">
        <v>16.01</v>
      </c>
      <c r="C15" s="3">
        <f>$B12*(C$3/B$3)</f>
        <v>33.11976190476191</v>
      </c>
    </row>
    <row r="16" spans="1:3" ht="12.75">
      <c r="A16">
        <v>2014</v>
      </c>
      <c r="B16" s="3">
        <v>15.02</v>
      </c>
      <c r="C16" s="3">
        <f aca="true" t="shared" si="0" ref="C16:C44">B13*(C$3/B$3)</f>
        <v>34.06142857142857</v>
      </c>
    </row>
    <row r="17" spans="1:3" ht="12.75">
      <c r="A17">
        <v>2015</v>
      </c>
      <c r="B17" s="3">
        <v>13.6</v>
      </c>
      <c r="C17" s="3">
        <f t="shared" si="0"/>
        <v>35.917857142857144</v>
      </c>
    </row>
    <row r="18" spans="1:3" ht="12.75">
      <c r="A18">
        <v>2016</v>
      </c>
      <c r="B18" s="3">
        <v>16.61</v>
      </c>
      <c r="C18" s="3">
        <f t="shared" si="0"/>
        <v>43.07452380952382</v>
      </c>
    </row>
    <row r="19" spans="1:3" ht="12.75">
      <c r="A19">
        <v>2017</v>
      </c>
      <c r="B19" s="3">
        <v>25.8</v>
      </c>
      <c r="C19" s="3">
        <f t="shared" si="0"/>
        <v>40.41095238095238</v>
      </c>
    </row>
    <row r="20" spans="1:3" ht="12.75">
      <c r="A20">
        <v>2018</v>
      </c>
      <c r="B20" s="3">
        <v>14.86</v>
      </c>
      <c r="C20" s="3">
        <f t="shared" si="0"/>
        <v>36.590476190476195</v>
      </c>
    </row>
    <row r="21" spans="1:3" ht="12.75">
      <c r="A21">
        <v>2019</v>
      </c>
      <c r="B21" s="3">
        <v>19.11</v>
      </c>
      <c r="C21" s="3">
        <f t="shared" si="0"/>
        <v>44.688809523809525</v>
      </c>
    </row>
    <row r="22" spans="1:3" ht="12.75">
      <c r="A22">
        <v>2020</v>
      </c>
      <c r="B22" s="3">
        <v>15.4</v>
      </c>
      <c r="C22" s="3">
        <f t="shared" si="0"/>
        <v>69.41428571428573</v>
      </c>
    </row>
    <row r="23" spans="1:3" ht="12.75">
      <c r="A23">
        <v>2021</v>
      </c>
      <c r="B23" s="3">
        <v>18.94</v>
      </c>
      <c r="C23" s="3">
        <f t="shared" si="0"/>
        <v>39.98047619047619</v>
      </c>
    </row>
    <row r="24" spans="1:3" ht="12.75">
      <c r="A24">
        <v>2022</v>
      </c>
      <c r="B24" s="3">
        <v>15.76</v>
      </c>
      <c r="C24" s="3">
        <f t="shared" si="0"/>
        <v>51.415</v>
      </c>
    </row>
    <row r="25" spans="1:4" ht="12.75">
      <c r="A25">
        <v>2023</v>
      </c>
      <c r="B25" s="3">
        <v>27.03</v>
      </c>
      <c r="C25" s="3">
        <f t="shared" si="0"/>
        <v>41.43333333333334</v>
      </c>
      <c r="D25" s="3">
        <f aca="true" t="shared" si="1" ref="D25:D54">$B12*(D$3/B$3)</f>
        <v>27.111309523809528</v>
      </c>
    </row>
    <row r="26" spans="1:4" ht="12.75">
      <c r="A26">
        <v>2024</v>
      </c>
      <c r="B26" s="3">
        <v>23.6</v>
      </c>
      <c r="C26" s="3">
        <f t="shared" si="0"/>
        <v>50.957619047619055</v>
      </c>
      <c r="D26" s="3">
        <f t="shared" si="1"/>
        <v>27.88214285714286</v>
      </c>
    </row>
    <row r="27" spans="1:4" ht="12.75">
      <c r="A27">
        <v>2025</v>
      </c>
      <c r="B27" s="3">
        <v>20.86</v>
      </c>
      <c r="C27" s="3">
        <f t="shared" si="0"/>
        <v>42.40190476190477</v>
      </c>
      <c r="D27" s="3">
        <f t="shared" si="1"/>
        <v>29.401785714285715</v>
      </c>
    </row>
    <row r="28" spans="1:4" ht="12.75">
      <c r="A28">
        <v>2026</v>
      </c>
      <c r="B28" s="3">
        <v>27.03</v>
      </c>
      <c r="C28" s="3">
        <f t="shared" si="0"/>
        <v>72.72357142857143</v>
      </c>
      <c r="D28" s="3">
        <f t="shared" si="1"/>
        <v>35.26011904761906</v>
      </c>
    </row>
    <row r="29" spans="1:4" ht="12.75">
      <c r="A29">
        <v>2027</v>
      </c>
      <c r="B29" s="3">
        <v>17</v>
      </c>
      <c r="C29" s="3">
        <f t="shared" si="0"/>
        <v>63.4952380952381</v>
      </c>
      <c r="D29" s="3">
        <f t="shared" si="1"/>
        <v>33.07976190476191</v>
      </c>
    </row>
    <row r="30" spans="1:4" ht="12.75">
      <c r="A30">
        <v>2028</v>
      </c>
      <c r="B30" s="3">
        <v>19.8</v>
      </c>
      <c r="C30" s="3">
        <f t="shared" si="0"/>
        <v>56.123333333333335</v>
      </c>
      <c r="D30" s="3">
        <f t="shared" si="1"/>
        <v>29.952380952380953</v>
      </c>
    </row>
    <row r="31" spans="1:4" ht="12.75">
      <c r="A31">
        <v>2029</v>
      </c>
      <c r="B31" s="3">
        <v>28.96</v>
      </c>
      <c r="C31" s="3">
        <f t="shared" si="0"/>
        <v>72.72357142857143</v>
      </c>
      <c r="D31" s="3">
        <f t="shared" si="1"/>
        <v>36.58154761904762</v>
      </c>
    </row>
    <row r="32" spans="1:4" ht="12.75">
      <c r="A32">
        <v>2030</v>
      </c>
      <c r="B32" s="3">
        <v>21.02</v>
      </c>
      <c r="C32" s="3">
        <f t="shared" si="0"/>
        <v>45.73809523809524</v>
      </c>
      <c r="D32" s="3">
        <f t="shared" si="1"/>
        <v>56.82142857142858</v>
      </c>
    </row>
    <row r="33" spans="1:4" ht="12.75">
      <c r="A33">
        <v>2031</v>
      </c>
      <c r="B33" s="3">
        <v>17.97</v>
      </c>
      <c r="C33" s="3">
        <f t="shared" si="0"/>
        <v>53.27142857142858</v>
      </c>
      <c r="D33" s="3">
        <f t="shared" si="1"/>
        <v>32.727380952380955</v>
      </c>
    </row>
    <row r="34" spans="1:4" ht="12.75">
      <c r="A34">
        <v>2032</v>
      </c>
      <c r="B34" s="3">
        <v>40.42</v>
      </c>
      <c r="C34" s="3">
        <f t="shared" si="0"/>
        <v>77.91619047619048</v>
      </c>
      <c r="D34" s="3">
        <f t="shared" si="1"/>
        <v>42.0875</v>
      </c>
    </row>
    <row r="35" spans="1:4" ht="12.75">
      <c r="A35">
        <v>2033</v>
      </c>
      <c r="B35" s="3">
        <v>22.04</v>
      </c>
      <c r="C35" s="3">
        <f t="shared" si="0"/>
        <v>56.55380952380953</v>
      </c>
      <c r="D35" s="3">
        <f t="shared" si="1"/>
        <v>33.91666666666667</v>
      </c>
    </row>
    <row r="36" spans="1:4" ht="12.75">
      <c r="A36">
        <v>2034</v>
      </c>
      <c r="B36" s="3">
        <v>21.04</v>
      </c>
      <c r="C36" s="3">
        <f t="shared" si="0"/>
        <v>48.347857142857144</v>
      </c>
      <c r="D36" s="3">
        <f t="shared" si="1"/>
        <v>41.71309523809524</v>
      </c>
    </row>
    <row r="37" spans="1:4" ht="12.75">
      <c r="A37">
        <v>2035</v>
      </c>
      <c r="B37" s="3">
        <v>19.08</v>
      </c>
      <c r="C37" s="3">
        <f t="shared" si="0"/>
        <v>108.74904761904763</v>
      </c>
      <c r="D37" s="3">
        <f t="shared" si="1"/>
        <v>34.70952380952381</v>
      </c>
    </row>
    <row r="38" spans="1:4" ht="12.75">
      <c r="A38">
        <v>2036</v>
      </c>
      <c r="B38" s="3">
        <v>29.7</v>
      </c>
      <c r="C38" s="3">
        <f t="shared" si="0"/>
        <v>59.29809523809524</v>
      </c>
      <c r="D38" s="3">
        <f t="shared" si="1"/>
        <v>59.53035714285715</v>
      </c>
    </row>
    <row r="39" spans="1:4" ht="12.75">
      <c r="A39">
        <v>2037</v>
      </c>
      <c r="B39" s="3">
        <v>19.4</v>
      </c>
      <c r="C39" s="3">
        <f t="shared" si="0"/>
        <v>56.60761904761905</v>
      </c>
      <c r="D39" s="3">
        <f t="shared" si="1"/>
        <v>51.97619047619048</v>
      </c>
    </row>
    <row r="40" spans="1:4" ht="12.75">
      <c r="A40">
        <v>2038</v>
      </c>
      <c r="B40" s="3">
        <v>24.42</v>
      </c>
      <c r="C40" s="3">
        <f t="shared" si="0"/>
        <v>51.33428571428571</v>
      </c>
      <c r="D40" s="3">
        <f t="shared" si="1"/>
        <v>45.94166666666667</v>
      </c>
    </row>
    <row r="41" spans="1:4" ht="12.75">
      <c r="A41">
        <v>2039</v>
      </c>
      <c r="B41" s="3">
        <v>14.02</v>
      </c>
      <c r="C41" s="3">
        <f t="shared" si="0"/>
        <v>79.90714285714286</v>
      </c>
      <c r="D41" s="3">
        <f t="shared" si="1"/>
        <v>59.53035714285715</v>
      </c>
    </row>
    <row r="42" spans="1:4" ht="12.75">
      <c r="A42">
        <v>2040</v>
      </c>
      <c r="C42" s="3">
        <f t="shared" si="0"/>
        <v>52.195238095238096</v>
      </c>
      <c r="D42" s="3">
        <f t="shared" si="1"/>
        <v>37.44047619047619</v>
      </c>
    </row>
    <row r="43" spans="1:4" ht="12.75">
      <c r="A43">
        <v>2041</v>
      </c>
      <c r="C43" s="3">
        <f t="shared" si="0"/>
        <v>65.70142857142858</v>
      </c>
      <c r="D43" s="3">
        <f t="shared" si="1"/>
        <v>43.60714285714286</v>
      </c>
    </row>
    <row r="44" spans="1:4" ht="12.75">
      <c r="A44">
        <v>2042</v>
      </c>
      <c r="C44" s="3">
        <f t="shared" si="0"/>
        <v>37.72047619047619</v>
      </c>
      <c r="D44" s="3">
        <f t="shared" si="1"/>
        <v>63.780952380952385</v>
      </c>
    </row>
    <row r="45" spans="1:4" ht="12.75">
      <c r="A45">
        <v>2043</v>
      </c>
      <c r="C45" s="3"/>
      <c r="D45" s="3">
        <f t="shared" si="1"/>
        <v>46.294047619047625</v>
      </c>
    </row>
    <row r="46" spans="1:4" ht="12.75">
      <c r="A46">
        <v>2044</v>
      </c>
      <c r="C46" s="3"/>
      <c r="D46" s="3">
        <f t="shared" si="1"/>
        <v>39.57678571428571</v>
      </c>
    </row>
    <row r="47" spans="1:4" ht="12.75">
      <c r="A47">
        <v>2045</v>
      </c>
      <c r="C47" s="3"/>
      <c r="D47" s="3">
        <f t="shared" si="1"/>
        <v>89.0202380952381</v>
      </c>
    </row>
    <row r="48" spans="1:4" ht="12.75">
      <c r="A48">
        <v>2046</v>
      </c>
      <c r="C48" s="3"/>
      <c r="D48" s="3">
        <f t="shared" si="1"/>
        <v>48.54047619047619</v>
      </c>
    </row>
    <row r="49" spans="1:4" ht="12.75">
      <c r="A49">
        <v>2047</v>
      </c>
      <c r="C49" s="3"/>
      <c r="D49" s="3">
        <f t="shared" si="1"/>
        <v>46.33809523809524</v>
      </c>
    </row>
    <row r="50" spans="1:4" ht="12.75">
      <c r="A50">
        <v>2048</v>
      </c>
      <c r="C50" s="3"/>
      <c r="D50" s="3">
        <f t="shared" si="1"/>
        <v>42.02142857142857</v>
      </c>
    </row>
    <row r="51" spans="1:4" ht="12.75">
      <c r="A51">
        <v>2049</v>
      </c>
      <c r="C51" s="3"/>
      <c r="D51" s="3">
        <f t="shared" si="1"/>
        <v>65.41071428571429</v>
      </c>
    </row>
    <row r="52" spans="1:4" ht="12.75">
      <c r="A52">
        <v>2050</v>
      </c>
      <c r="C52" s="3"/>
      <c r="D52" s="3">
        <f t="shared" si="1"/>
        <v>42.726190476190474</v>
      </c>
    </row>
    <row r="53" spans="1:4" ht="12.75">
      <c r="A53">
        <v>2051</v>
      </c>
      <c r="C53" s="3"/>
      <c r="D53" s="3">
        <f t="shared" si="1"/>
        <v>53.782142857142865</v>
      </c>
    </row>
    <row r="54" spans="1:4" ht="12.75">
      <c r="A54">
        <v>2052</v>
      </c>
      <c r="C54" s="3"/>
      <c r="D54" s="3">
        <f t="shared" si="1"/>
        <v>30.877380952380953</v>
      </c>
    </row>
    <row r="55" spans="1:4" ht="12.75">
      <c r="A55">
        <v>2053</v>
      </c>
      <c r="C55" s="3"/>
      <c r="D55" s="3"/>
    </row>
    <row r="56" spans="1:4" ht="12.75">
      <c r="A56">
        <v>2054</v>
      </c>
      <c r="C56" s="3"/>
      <c r="D56" s="3"/>
    </row>
    <row r="57" spans="1:4" ht="12.75">
      <c r="A57">
        <v>2055</v>
      </c>
      <c r="C57" s="3"/>
      <c r="D57" s="3"/>
    </row>
    <row r="58" spans="1:4" ht="12.75">
      <c r="A58">
        <v>2056</v>
      </c>
      <c r="C58" s="3"/>
      <c r="D58" s="3"/>
    </row>
    <row r="59" spans="1:4" ht="12.75">
      <c r="A59">
        <v>2057</v>
      </c>
      <c r="C59" s="3"/>
      <c r="D59" s="3"/>
    </row>
    <row r="60" spans="1:4" ht="12.75">
      <c r="A60">
        <v>2058</v>
      </c>
      <c r="C60" s="3"/>
      <c r="D60" s="3"/>
    </row>
    <row r="61" ht="12" customHeight="1"/>
    <row r="62" spans="1:4" ht="12.75">
      <c r="A62" s="1" t="s">
        <v>140</v>
      </c>
      <c r="B62" s="6">
        <f>SUM(B12:B36)</f>
        <v>496.2000000000001</v>
      </c>
      <c r="C62" s="6">
        <f>SUM(C12:C36)</f>
        <v>1110.3595238095238</v>
      </c>
      <c r="D62" s="6">
        <f>SUM(D12:D36)</f>
        <v>426.5351190476191</v>
      </c>
    </row>
    <row r="63" spans="2:4" ht="12.75">
      <c r="B63" s="3">
        <f>AVERAGE(B12:B36)</f>
        <v>19.848000000000003</v>
      </c>
      <c r="C63" s="3">
        <f>AVERAGE(C12:C36)</f>
        <v>50.47088744588745</v>
      </c>
      <c r="D63" s="3">
        <f>AVERAGE(D12:D36)</f>
        <v>35.54459325396826</v>
      </c>
    </row>
    <row r="64" spans="1:4" ht="12.75">
      <c r="A64" s="1"/>
      <c r="B64" s="4"/>
      <c r="C64" s="4"/>
      <c r="D64" s="4"/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4"/>
  <sheetViews>
    <sheetView workbookViewId="0" topLeftCell="A1">
      <selection activeCell="A1" sqref="A1:D1"/>
    </sheetView>
  </sheetViews>
  <sheetFormatPr defaultColWidth="9.140625" defaultRowHeight="12.75"/>
  <cols>
    <col min="1" max="1" width="11.00390625" style="0" customWidth="1"/>
    <col min="2" max="2" width="17.57421875" style="0" bestFit="1" customWidth="1"/>
    <col min="3" max="3" width="17.00390625" style="0" customWidth="1"/>
    <col min="4" max="4" width="16.28125" style="0" customWidth="1"/>
    <col min="6" max="6" width="10.7109375" style="0" customWidth="1"/>
    <col min="7" max="7" width="15.28125" style="0" customWidth="1"/>
    <col min="8" max="8" width="14.8515625" style="0" customWidth="1"/>
    <col min="9" max="9" width="16.28125" style="0" customWidth="1"/>
    <col min="11" max="11" width="10.7109375" style="0" customWidth="1"/>
    <col min="12" max="12" width="15.00390625" style="0" bestFit="1" customWidth="1"/>
    <col min="13" max="13" width="16.140625" style="0" customWidth="1"/>
    <col min="14" max="14" width="16.00390625" style="0" bestFit="1" customWidth="1"/>
  </cols>
  <sheetData>
    <row r="1" spans="1:4" ht="12.75">
      <c r="A1" s="187" t="s">
        <v>89</v>
      </c>
      <c r="B1" s="187"/>
      <c r="C1" s="187"/>
      <c r="D1" s="187"/>
    </row>
    <row r="2" spans="1:4" ht="12.75">
      <c r="A2" s="187" t="s">
        <v>90</v>
      </c>
      <c r="B2" s="187"/>
      <c r="C2" s="187"/>
      <c r="D2" s="187"/>
    </row>
    <row r="4" spans="1:4" ht="12.75">
      <c r="A4" s="187" t="s">
        <v>91</v>
      </c>
      <c r="B4" s="187"/>
      <c r="C4" s="187"/>
      <c r="D4" s="187"/>
    </row>
    <row r="6" spans="1:4" ht="12.75">
      <c r="A6" s="33" t="s">
        <v>37</v>
      </c>
      <c r="B6" s="33" t="s">
        <v>43</v>
      </c>
      <c r="C6" s="33" t="s">
        <v>35</v>
      </c>
      <c r="D6" s="33" t="s">
        <v>9</v>
      </c>
    </row>
    <row r="7" spans="1:8" ht="12.75">
      <c r="A7" s="124">
        <v>38534</v>
      </c>
      <c r="B7" s="125">
        <v>12260000</v>
      </c>
      <c r="C7" s="125">
        <v>48852100</v>
      </c>
      <c r="D7" s="125">
        <v>61112100</v>
      </c>
      <c r="F7" s="96"/>
      <c r="H7" s="96"/>
    </row>
    <row r="8" spans="1:8" ht="12.75">
      <c r="A8" s="124">
        <v>38899</v>
      </c>
      <c r="B8" s="126">
        <v>24675000</v>
      </c>
      <c r="C8" s="126">
        <v>99250450</v>
      </c>
      <c r="D8" s="126">
        <v>123925450</v>
      </c>
      <c r="F8" s="96"/>
      <c r="H8" s="96"/>
    </row>
    <row r="9" spans="1:8" ht="12.75">
      <c r="A9" s="124">
        <v>39264</v>
      </c>
      <c r="B9" s="126">
        <v>37300000</v>
      </c>
      <c r="C9" s="126">
        <v>151157175</v>
      </c>
      <c r="D9" s="126">
        <v>188457175</v>
      </c>
      <c r="F9" s="96"/>
      <c r="H9" s="96"/>
    </row>
    <row r="10" spans="1:8" ht="12.75">
      <c r="A10" s="124">
        <v>39630</v>
      </c>
      <c r="B10" s="126">
        <v>39440000</v>
      </c>
      <c r="C10" s="126">
        <v>149018462.5</v>
      </c>
      <c r="D10" s="126">
        <v>188458462.5</v>
      </c>
      <c r="F10" s="96"/>
      <c r="G10" s="96"/>
      <c r="H10" s="96"/>
    </row>
    <row r="11" spans="1:8" ht="12.75">
      <c r="A11" s="124">
        <v>39995</v>
      </c>
      <c r="B11" s="126">
        <v>41700000</v>
      </c>
      <c r="C11" s="126">
        <v>146756887.5</v>
      </c>
      <c r="D11" s="126">
        <v>188456887.5</v>
      </c>
      <c r="F11" s="96"/>
      <c r="G11" s="96"/>
      <c r="H11" s="96"/>
    </row>
    <row r="12" spans="1:8" ht="12.75">
      <c r="A12" s="124">
        <v>40360</v>
      </c>
      <c r="B12" s="126">
        <v>44085000</v>
      </c>
      <c r="C12" s="126">
        <v>144365550</v>
      </c>
      <c r="D12" s="126">
        <v>188450550</v>
      </c>
      <c r="F12" s="96"/>
      <c r="G12" s="96"/>
      <c r="H12" s="96"/>
    </row>
    <row r="13" spans="1:8" ht="12.75">
      <c r="A13" s="124">
        <v>40725</v>
      </c>
      <c r="B13" s="126">
        <v>46620000</v>
      </c>
      <c r="C13" s="126">
        <v>141837275</v>
      </c>
      <c r="D13" s="126">
        <v>188457275</v>
      </c>
      <c r="F13" s="96"/>
      <c r="G13" s="96"/>
      <c r="H13" s="96"/>
    </row>
    <row r="14" spans="1:8" ht="12.75">
      <c r="A14" s="124">
        <v>41091</v>
      </c>
      <c r="B14" s="126">
        <v>49290000</v>
      </c>
      <c r="C14" s="126">
        <v>139163437.5</v>
      </c>
      <c r="D14" s="126">
        <v>188453437.5</v>
      </c>
      <c r="F14" s="96"/>
      <c r="G14" s="96"/>
      <c r="H14" s="96"/>
    </row>
    <row r="15" spans="1:8" ht="12.75">
      <c r="A15" s="124">
        <v>41456</v>
      </c>
      <c r="B15" s="126">
        <v>52115000</v>
      </c>
      <c r="C15" s="126">
        <v>136336262.5</v>
      </c>
      <c r="D15" s="126">
        <v>188451262.5</v>
      </c>
      <c r="F15" s="96"/>
      <c r="G15" s="96"/>
      <c r="H15" s="96"/>
    </row>
    <row r="16" spans="1:7" ht="12.75">
      <c r="A16" s="124">
        <v>41821</v>
      </c>
      <c r="B16" s="126">
        <v>55110000</v>
      </c>
      <c r="C16" s="126">
        <v>133346862.5</v>
      </c>
      <c r="D16" s="126">
        <v>188456862.5</v>
      </c>
      <c r="G16" s="96"/>
    </row>
    <row r="17" spans="1:7" ht="12.75">
      <c r="A17" s="124">
        <v>42186</v>
      </c>
      <c r="B17" s="126">
        <v>58265000</v>
      </c>
      <c r="C17" s="126">
        <v>130185437.5</v>
      </c>
      <c r="D17" s="126">
        <v>188450437.5</v>
      </c>
      <c r="G17" s="96"/>
    </row>
    <row r="18" spans="1:7" ht="12.75">
      <c r="A18" s="124">
        <v>42552</v>
      </c>
      <c r="B18" s="126">
        <v>61605000</v>
      </c>
      <c r="C18" s="126">
        <v>126842800</v>
      </c>
      <c r="D18" s="126">
        <v>188447800</v>
      </c>
      <c r="G18" s="96"/>
    </row>
    <row r="19" spans="1:4" ht="12.75">
      <c r="A19" s="124">
        <v>42917</v>
      </c>
      <c r="B19" s="126">
        <v>65150000</v>
      </c>
      <c r="C19" s="126">
        <v>123308300</v>
      </c>
      <c r="D19" s="126">
        <v>188458300</v>
      </c>
    </row>
    <row r="20" spans="1:4" ht="12.75">
      <c r="A20" s="124">
        <v>43282</v>
      </c>
      <c r="B20" s="126">
        <v>68885000</v>
      </c>
      <c r="C20" s="126">
        <v>119570162.5</v>
      </c>
      <c r="D20" s="126">
        <v>188455162.5</v>
      </c>
    </row>
    <row r="21" spans="1:4" ht="12.75">
      <c r="A21" s="124">
        <v>43647</v>
      </c>
      <c r="B21" s="126">
        <v>72835000</v>
      </c>
      <c r="C21" s="126">
        <v>115617437.5</v>
      </c>
      <c r="D21" s="126">
        <v>188452437.5</v>
      </c>
    </row>
    <row r="22" spans="1:4" ht="12.75">
      <c r="A22" s="124">
        <v>44013</v>
      </c>
      <c r="B22" s="126">
        <v>77020000</v>
      </c>
      <c r="C22" s="126">
        <v>111437787.5</v>
      </c>
      <c r="D22" s="126">
        <v>188457787.5</v>
      </c>
    </row>
    <row r="23" spans="1:4" ht="12.75">
      <c r="A23" s="124">
        <v>44378</v>
      </c>
      <c r="B23" s="126">
        <v>81435000</v>
      </c>
      <c r="C23" s="126">
        <v>107017662.5</v>
      </c>
      <c r="D23" s="126">
        <v>188452662.5</v>
      </c>
    </row>
    <row r="24" spans="1:4" ht="12.75">
      <c r="A24" s="124">
        <v>44743</v>
      </c>
      <c r="B24" s="126">
        <v>86110000</v>
      </c>
      <c r="C24" s="126">
        <v>102343850</v>
      </c>
      <c r="D24" s="126">
        <v>188453850</v>
      </c>
    </row>
    <row r="25" spans="1:4" ht="12.75">
      <c r="A25" s="124">
        <v>45108</v>
      </c>
      <c r="B25" s="126">
        <v>91050000</v>
      </c>
      <c r="C25" s="126">
        <v>97401387.5</v>
      </c>
      <c r="D25" s="126">
        <v>188451387.5</v>
      </c>
    </row>
    <row r="26" spans="1:4" ht="12.75">
      <c r="A26" s="124">
        <v>45474</v>
      </c>
      <c r="B26" s="126">
        <v>96285000</v>
      </c>
      <c r="C26" s="126">
        <v>92175025</v>
      </c>
      <c r="D26" s="126">
        <v>188460025</v>
      </c>
    </row>
    <row r="27" spans="1:4" ht="12.75">
      <c r="A27" s="124">
        <v>45839</v>
      </c>
      <c r="B27" s="126">
        <v>101810000</v>
      </c>
      <c r="C27" s="126">
        <v>86647787.5</v>
      </c>
      <c r="D27" s="126">
        <v>188457787.5</v>
      </c>
    </row>
    <row r="28" spans="1:4" ht="12.75">
      <c r="A28" s="124">
        <v>46204</v>
      </c>
      <c r="B28" s="126">
        <v>107650000</v>
      </c>
      <c r="C28" s="126">
        <v>80802987.5</v>
      </c>
      <c r="D28" s="126">
        <v>188452987.5</v>
      </c>
    </row>
    <row r="29" spans="1:4" ht="12.75">
      <c r="A29" s="124">
        <v>46569</v>
      </c>
      <c r="B29" s="126">
        <v>113825000</v>
      </c>
      <c r="C29" s="126">
        <v>74622487.5</v>
      </c>
      <c r="D29" s="126">
        <v>188447487.5</v>
      </c>
    </row>
    <row r="30" spans="1:4" ht="12.75">
      <c r="A30" s="124">
        <v>46935</v>
      </c>
      <c r="B30" s="126">
        <v>120365000</v>
      </c>
      <c r="C30" s="126">
        <v>68087025</v>
      </c>
      <c r="D30" s="126">
        <v>188452025</v>
      </c>
    </row>
    <row r="31" spans="1:4" ht="12.75">
      <c r="A31" s="124">
        <v>47300</v>
      </c>
      <c r="B31" s="126">
        <v>127280000</v>
      </c>
      <c r="C31" s="126">
        <v>61175575</v>
      </c>
      <c r="D31" s="126">
        <v>188455575</v>
      </c>
    </row>
    <row r="32" spans="1:4" ht="12.75">
      <c r="A32" s="124">
        <v>47665</v>
      </c>
      <c r="B32" s="126">
        <v>134585000</v>
      </c>
      <c r="C32" s="126">
        <v>53866575</v>
      </c>
      <c r="D32" s="126">
        <v>188451575</v>
      </c>
    </row>
    <row r="33" spans="1:4" ht="12.75">
      <c r="A33" s="124">
        <v>48030</v>
      </c>
      <c r="B33" s="126">
        <v>142315000</v>
      </c>
      <c r="C33" s="126">
        <v>46137550</v>
      </c>
      <c r="D33" s="126">
        <v>188452550</v>
      </c>
    </row>
    <row r="34" spans="1:4" ht="12.75">
      <c r="A34" s="124">
        <v>48396</v>
      </c>
      <c r="B34" s="126">
        <v>150490000</v>
      </c>
      <c r="C34" s="126">
        <v>37964037.5</v>
      </c>
      <c r="D34" s="126">
        <v>188454037.5</v>
      </c>
    </row>
    <row r="35" spans="1:4" ht="12.75">
      <c r="A35" s="124">
        <v>48761</v>
      </c>
      <c r="B35" s="126">
        <v>159130000</v>
      </c>
      <c r="C35" s="126">
        <v>29320425</v>
      </c>
      <c r="D35" s="126">
        <v>188450425</v>
      </c>
    </row>
    <row r="36" spans="1:4" ht="12.75">
      <c r="A36" s="124">
        <v>49126</v>
      </c>
      <c r="B36" s="126">
        <v>168275000</v>
      </c>
      <c r="C36" s="126">
        <v>20179950</v>
      </c>
      <c r="D36" s="126">
        <v>188454950</v>
      </c>
    </row>
    <row r="37" spans="1:4" ht="12.75">
      <c r="A37" s="124">
        <v>49491</v>
      </c>
      <c r="B37" s="126">
        <v>116825000</v>
      </c>
      <c r="C37" s="126">
        <v>10513512.5</v>
      </c>
      <c r="D37" s="126">
        <v>127338512.5</v>
      </c>
    </row>
    <row r="38" spans="1:4" ht="15">
      <c r="A38" s="124">
        <v>49857</v>
      </c>
      <c r="B38" s="127">
        <v>60875000</v>
      </c>
      <c r="C38" s="127">
        <v>3652500</v>
      </c>
      <c r="D38" s="127">
        <v>64527500</v>
      </c>
    </row>
    <row r="39" spans="2:4" ht="15">
      <c r="B39" s="128">
        <f>SUM(B7:B38)</f>
        <v>2664660000</v>
      </c>
      <c r="C39" s="128">
        <f>SUM(C7:C38)</f>
        <v>2988954725</v>
      </c>
      <c r="D39" s="128">
        <f>SUM(D7:D38)</f>
        <v>5653614725</v>
      </c>
    </row>
    <row r="40" spans="1:4" s="1" customFormat="1" ht="15">
      <c r="A40" s="58" t="s">
        <v>140</v>
      </c>
      <c r="B40" s="154">
        <f>SUM(B7:B36)</f>
        <v>2486960000</v>
      </c>
      <c r="C40" s="154">
        <f>SUM(C7:C36)</f>
        <v>2974788712.5</v>
      </c>
      <c r="D40" s="154">
        <f>SUM(D7:D36)</f>
        <v>5461748712.5</v>
      </c>
    </row>
    <row r="42" ht="12.75">
      <c r="A42" s="129" t="s">
        <v>92</v>
      </c>
    </row>
    <row r="43" ht="12.75">
      <c r="A43" s="130" t="s">
        <v>93</v>
      </c>
    </row>
    <row r="44" ht="12.75">
      <c r="A44" s="130" t="s">
        <v>94</v>
      </c>
    </row>
    <row r="45" ht="12.75">
      <c r="A45" s="130" t="s">
        <v>95</v>
      </c>
    </row>
    <row r="46" ht="12.75">
      <c r="A46" s="130" t="s">
        <v>96</v>
      </c>
    </row>
    <row r="47" ht="12.75">
      <c r="A47" s="130" t="s">
        <v>97</v>
      </c>
    </row>
    <row r="48" ht="12.75">
      <c r="A48" s="130" t="s">
        <v>98</v>
      </c>
    </row>
    <row r="49" ht="12.75">
      <c r="A49" s="130" t="s">
        <v>99</v>
      </c>
    </row>
    <row r="50" ht="12.75">
      <c r="A50" s="130" t="s">
        <v>100</v>
      </c>
    </row>
    <row r="53" spans="1:4" ht="12.75">
      <c r="A53" s="187" t="s">
        <v>89</v>
      </c>
      <c r="B53" s="187"/>
      <c r="C53" s="187"/>
      <c r="D53" s="187"/>
    </row>
    <row r="54" spans="1:4" ht="12.75">
      <c r="A54" s="187" t="s">
        <v>90</v>
      </c>
      <c r="B54" s="187"/>
      <c r="C54" s="187"/>
      <c r="D54" s="187"/>
    </row>
    <row r="56" spans="1:4" ht="12.75">
      <c r="A56" s="187" t="s">
        <v>101</v>
      </c>
      <c r="B56" s="187"/>
      <c r="C56" s="187"/>
      <c r="D56" s="187"/>
    </row>
    <row r="58" spans="1:14" ht="12.75">
      <c r="A58" s="33" t="s">
        <v>37</v>
      </c>
      <c r="B58" s="33" t="s">
        <v>43</v>
      </c>
      <c r="C58" s="33" t="s">
        <v>35</v>
      </c>
      <c r="D58" s="33" t="s">
        <v>9</v>
      </c>
      <c r="K58" s="33"/>
      <c r="L58" s="33"/>
      <c r="M58" s="33"/>
      <c r="N58" s="33"/>
    </row>
    <row r="59" spans="1:14" ht="12.75">
      <c r="A59" s="124">
        <v>39630</v>
      </c>
      <c r="B59" s="125">
        <v>15290000</v>
      </c>
      <c r="C59" s="125">
        <v>72525300</v>
      </c>
      <c r="D59" s="125">
        <v>87815300</v>
      </c>
      <c r="K59" s="124"/>
      <c r="L59" s="125"/>
      <c r="M59" s="125"/>
      <c r="N59" s="125"/>
    </row>
    <row r="60" spans="1:14" ht="12.75">
      <c r="A60" s="124">
        <v>39995</v>
      </c>
      <c r="B60" s="126">
        <v>31495000</v>
      </c>
      <c r="C60" s="126">
        <v>144133200</v>
      </c>
      <c r="D60" s="126">
        <v>175628200</v>
      </c>
      <c r="K60" s="124"/>
      <c r="L60" s="126"/>
      <c r="M60" s="126"/>
      <c r="N60" s="126"/>
    </row>
    <row r="61" spans="1:14" ht="12.75">
      <c r="A61" s="124">
        <v>40360</v>
      </c>
      <c r="B61" s="126">
        <v>48675000</v>
      </c>
      <c r="C61" s="126">
        <v>214768800</v>
      </c>
      <c r="D61" s="126">
        <v>263443800</v>
      </c>
      <c r="K61" s="124"/>
      <c r="L61" s="126"/>
      <c r="M61" s="126"/>
      <c r="N61" s="126"/>
    </row>
    <row r="62" spans="1:14" ht="12.75">
      <c r="A62" s="124">
        <v>40725</v>
      </c>
      <c r="B62" s="126">
        <v>66885000</v>
      </c>
      <c r="C62" s="126">
        <v>284373600</v>
      </c>
      <c r="D62" s="126">
        <v>351258600</v>
      </c>
      <c r="K62" s="124"/>
      <c r="L62" s="126"/>
      <c r="M62" s="126"/>
      <c r="N62" s="126"/>
    </row>
    <row r="63" spans="1:14" ht="12.75">
      <c r="A63" s="124">
        <v>41091</v>
      </c>
      <c r="B63" s="126">
        <v>86190000</v>
      </c>
      <c r="C63" s="126">
        <v>352885800</v>
      </c>
      <c r="D63" s="126">
        <v>439075800</v>
      </c>
      <c r="K63" s="124"/>
      <c r="L63" s="126"/>
      <c r="M63" s="126"/>
      <c r="N63" s="126"/>
    </row>
    <row r="64" spans="1:14" ht="12.75">
      <c r="A64" s="124">
        <v>41456</v>
      </c>
      <c r="B64" s="126">
        <v>106650000</v>
      </c>
      <c r="C64" s="126">
        <v>420239700</v>
      </c>
      <c r="D64" s="126">
        <v>526889700</v>
      </c>
      <c r="K64" s="124"/>
      <c r="L64" s="126"/>
      <c r="M64" s="126"/>
      <c r="N64" s="126"/>
    </row>
    <row r="65" spans="1:14" ht="12.75">
      <c r="A65" s="124">
        <v>41821</v>
      </c>
      <c r="B65" s="126">
        <v>113050000</v>
      </c>
      <c r="C65" s="126">
        <v>413840700</v>
      </c>
      <c r="D65" s="126">
        <v>526890700</v>
      </c>
      <c r="K65" s="124"/>
      <c r="L65" s="126"/>
      <c r="M65" s="126"/>
      <c r="N65" s="126"/>
    </row>
    <row r="66" spans="1:14" ht="12.75">
      <c r="A66" s="124">
        <v>42186</v>
      </c>
      <c r="B66" s="126">
        <v>119835000</v>
      </c>
      <c r="C66" s="126">
        <v>407057700</v>
      </c>
      <c r="D66" s="126">
        <v>526892700</v>
      </c>
      <c r="K66" s="124"/>
      <c r="L66" s="126"/>
      <c r="M66" s="126"/>
      <c r="N66" s="126"/>
    </row>
    <row r="67" spans="1:14" ht="12.75">
      <c r="A67" s="124">
        <v>42552</v>
      </c>
      <c r="B67" s="126">
        <v>127025000</v>
      </c>
      <c r="C67" s="126">
        <v>399867600</v>
      </c>
      <c r="D67" s="126">
        <v>526892600</v>
      </c>
      <c r="K67" s="124"/>
      <c r="L67" s="126"/>
      <c r="M67" s="126"/>
      <c r="N67" s="126"/>
    </row>
    <row r="68" spans="1:14" ht="12.75">
      <c r="A68" s="124">
        <v>42917</v>
      </c>
      <c r="B68" s="126">
        <v>134645000</v>
      </c>
      <c r="C68" s="126">
        <v>392246100</v>
      </c>
      <c r="D68" s="126">
        <v>526891100</v>
      </c>
      <c r="K68" s="124"/>
      <c r="L68" s="126"/>
      <c r="M68" s="126"/>
      <c r="N68" s="126"/>
    </row>
    <row r="69" spans="1:14" ht="12.75">
      <c r="A69" s="124">
        <v>43282</v>
      </c>
      <c r="B69" s="126">
        <v>142720000</v>
      </c>
      <c r="C69" s="126">
        <v>384167400</v>
      </c>
      <c r="D69" s="126">
        <v>526887400</v>
      </c>
      <c r="K69" s="124"/>
      <c r="L69" s="126"/>
      <c r="M69" s="126"/>
      <c r="N69" s="126"/>
    </row>
    <row r="70" spans="1:14" ht="12.75">
      <c r="A70" s="124">
        <v>43647</v>
      </c>
      <c r="B70" s="126">
        <v>151285000</v>
      </c>
      <c r="C70" s="126">
        <v>375604200</v>
      </c>
      <c r="D70" s="126">
        <v>526889200</v>
      </c>
      <c r="K70" s="124"/>
      <c r="L70" s="126"/>
      <c r="M70" s="126"/>
      <c r="N70" s="126"/>
    </row>
    <row r="71" spans="1:14" ht="12.75">
      <c r="A71" s="124">
        <v>44013</v>
      </c>
      <c r="B71" s="126">
        <v>160360000</v>
      </c>
      <c r="C71" s="126">
        <v>366527100</v>
      </c>
      <c r="D71" s="126">
        <v>526887100</v>
      </c>
      <c r="K71" s="124"/>
      <c r="L71" s="126"/>
      <c r="M71" s="126"/>
      <c r="N71" s="126"/>
    </row>
    <row r="72" spans="1:14" ht="12.75">
      <c r="A72" s="124">
        <v>44378</v>
      </c>
      <c r="B72" s="126">
        <v>169980000</v>
      </c>
      <c r="C72" s="126">
        <v>356905500</v>
      </c>
      <c r="D72" s="126">
        <v>526885500</v>
      </c>
      <c r="K72" s="124"/>
      <c r="L72" s="126"/>
      <c r="M72" s="126"/>
      <c r="N72" s="126"/>
    </row>
    <row r="73" spans="1:14" ht="12.75">
      <c r="A73" s="124">
        <v>44743</v>
      </c>
      <c r="B73" s="126">
        <v>180180000</v>
      </c>
      <c r="C73" s="126">
        <v>346706700</v>
      </c>
      <c r="D73" s="126">
        <v>526886700</v>
      </c>
      <c r="K73" s="124"/>
      <c r="L73" s="126"/>
      <c r="M73" s="126"/>
      <c r="N73" s="126"/>
    </row>
    <row r="74" spans="1:14" ht="12.75">
      <c r="A74" s="124">
        <v>45108</v>
      </c>
      <c r="B74" s="126">
        <v>190990000</v>
      </c>
      <c r="C74" s="126">
        <v>335895900</v>
      </c>
      <c r="D74" s="126">
        <v>526885900</v>
      </c>
      <c r="K74" s="124"/>
      <c r="L74" s="126"/>
      <c r="M74" s="126"/>
      <c r="N74" s="126"/>
    </row>
    <row r="75" spans="1:14" ht="12.75">
      <c r="A75" s="124">
        <v>45474</v>
      </c>
      <c r="B75" s="126">
        <v>202450000</v>
      </c>
      <c r="C75" s="126">
        <v>324436500</v>
      </c>
      <c r="D75" s="126">
        <v>526886500</v>
      </c>
      <c r="K75" s="124"/>
      <c r="L75" s="126"/>
      <c r="M75" s="126"/>
      <c r="N75" s="126"/>
    </row>
    <row r="76" spans="1:14" ht="12.75">
      <c r="A76" s="124">
        <v>45839</v>
      </c>
      <c r="B76" s="126">
        <v>214595000</v>
      </c>
      <c r="C76" s="126">
        <v>312289500</v>
      </c>
      <c r="D76" s="126">
        <v>526884500</v>
      </c>
      <c r="K76" s="124"/>
      <c r="L76" s="126"/>
      <c r="M76" s="126"/>
      <c r="N76" s="126"/>
    </row>
    <row r="77" spans="1:14" ht="12.75">
      <c r="A77" s="124">
        <v>46204</v>
      </c>
      <c r="B77" s="126">
        <v>227470000</v>
      </c>
      <c r="C77" s="126">
        <v>299413800</v>
      </c>
      <c r="D77" s="126">
        <v>526883800</v>
      </c>
      <c r="K77" s="124"/>
      <c r="L77" s="126"/>
      <c r="M77" s="126"/>
      <c r="N77" s="126"/>
    </row>
    <row r="78" spans="1:14" ht="12.75">
      <c r="A78" s="124">
        <v>46569</v>
      </c>
      <c r="B78" s="126">
        <v>241120000</v>
      </c>
      <c r="C78" s="126">
        <v>285765600</v>
      </c>
      <c r="D78" s="126">
        <v>526885600</v>
      </c>
      <c r="K78" s="124"/>
      <c r="L78" s="126"/>
      <c r="M78" s="126"/>
      <c r="N78" s="126"/>
    </row>
    <row r="79" spans="1:14" ht="12.75">
      <c r="A79" s="124">
        <v>46935</v>
      </c>
      <c r="B79" s="126">
        <v>255585000</v>
      </c>
      <c r="C79" s="126">
        <v>271298400</v>
      </c>
      <c r="D79" s="126">
        <v>526883400</v>
      </c>
      <c r="K79" s="124"/>
      <c r="L79" s="126"/>
      <c r="M79" s="126"/>
      <c r="N79" s="126"/>
    </row>
    <row r="80" spans="1:14" ht="12.75">
      <c r="A80" s="124">
        <v>47300</v>
      </c>
      <c r="B80" s="126">
        <v>270925000</v>
      </c>
      <c r="C80" s="126">
        <v>255963300</v>
      </c>
      <c r="D80" s="126">
        <v>526888300</v>
      </c>
      <c r="K80" s="124"/>
      <c r="L80" s="126"/>
      <c r="M80" s="126"/>
      <c r="N80" s="126"/>
    </row>
    <row r="81" spans="1:14" ht="12.75">
      <c r="A81" s="124">
        <v>47665</v>
      </c>
      <c r="B81" s="126">
        <v>287180000</v>
      </c>
      <c r="C81" s="126">
        <v>239707800</v>
      </c>
      <c r="D81" s="126">
        <v>526887800</v>
      </c>
      <c r="K81" s="124"/>
      <c r="L81" s="126"/>
      <c r="M81" s="126"/>
      <c r="N81" s="126"/>
    </row>
    <row r="82" spans="1:14" ht="12.75">
      <c r="A82" s="124">
        <v>48030</v>
      </c>
      <c r="B82" s="126">
        <v>304410000</v>
      </c>
      <c r="C82" s="126">
        <v>222477000</v>
      </c>
      <c r="D82" s="126">
        <v>526887000</v>
      </c>
      <c r="K82" s="124"/>
      <c r="L82" s="126"/>
      <c r="M82" s="126"/>
      <c r="N82" s="126"/>
    </row>
    <row r="83" spans="1:14" ht="12.75">
      <c r="A83" s="124">
        <v>48396</v>
      </c>
      <c r="B83" s="126">
        <v>322675000</v>
      </c>
      <c r="C83" s="126">
        <v>204212400</v>
      </c>
      <c r="D83" s="126">
        <v>526887400</v>
      </c>
      <c r="K83" s="124"/>
      <c r="L83" s="126"/>
      <c r="M83" s="126"/>
      <c r="N83" s="126"/>
    </row>
    <row r="84" spans="1:14" ht="12.75">
      <c r="A84" s="124">
        <v>48761</v>
      </c>
      <c r="B84" s="126">
        <v>342035000</v>
      </c>
      <c r="C84" s="126">
        <v>184851900</v>
      </c>
      <c r="D84" s="126">
        <v>526886900</v>
      </c>
      <c r="K84" s="124"/>
      <c r="L84" s="126"/>
      <c r="M84" s="126"/>
      <c r="N84" s="126"/>
    </row>
    <row r="85" spans="1:14" ht="12.75">
      <c r="A85" s="124">
        <v>49126</v>
      </c>
      <c r="B85" s="126">
        <v>362560000</v>
      </c>
      <c r="C85" s="126">
        <v>164329800</v>
      </c>
      <c r="D85" s="126">
        <v>526889800</v>
      </c>
      <c r="K85" s="124"/>
      <c r="L85" s="126"/>
      <c r="M85" s="126"/>
      <c r="N85" s="126"/>
    </row>
    <row r="86" spans="1:14" ht="12.75">
      <c r="A86" s="124">
        <v>49491</v>
      </c>
      <c r="B86" s="126">
        <v>384310000</v>
      </c>
      <c r="C86" s="126">
        <v>142576200</v>
      </c>
      <c r="D86" s="126">
        <v>526886200</v>
      </c>
      <c r="K86" s="124"/>
      <c r="L86" s="126"/>
      <c r="M86" s="126"/>
      <c r="N86" s="126"/>
    </row>
    <row r="87" spans="1:14" ht="12.75">
      <c r="A87" s="124">
        <v>49857</v>
      </c>
      <c r="B87" s="126">
        <v>407370000</v>
      </c>
      <c r="C87" s="126">
        <v>119517600</v>
      </c>
      <c r="D87" s="126">
        <v>526887600</v>
      </c>
      <c r="K87" s="124"/>
      <c r="L87" s="126"/>
      <c r="M87" s="126"/>
      <c r="N87" s="126"/>
    </row>
    <row r="88" spans="1:14" ht="12.75">
      <c r="A88" s="124">
        <v>50222</v>
      </c>
      <c r="B88" s="126">
        <v>431815000</v>
      </c>
      <c r="C88" s="126">
        <v>95075400</v>
      </c>
      <c r="D88" s="126">
        <v>526890400</v>
      </c>
      <c r="K88" s="124"/>
      <c r="L88" s="126"/>
      <c r="M88" s="126"/>
      <c r="N88" s="126"/>
    </row>
    <row r="89" spans="1:14" ht="12.75">
      <c r="A89" s="124">
        <v>50587</v>
      </c>
      <c r="B89" s="126">
        <v>369910000</v>
      </c>
      <c r="C89" s="126">
        <v>69166500</v>
      </c>
      <c r="D89" s="126">
        <v>439076500</v>
      </c>
      <c r="K89" s="124"/>
      <c r="L89" s="126"/>
      <c r="M89" s="126"/>
      <c r="N89" s="126"/>
    </row>
    <row r="90" spans="1:14" ht="12.75">
      <c r="A90" s="124">
        <v>50952</v>
      </c>
      <c r="B90" s="126">
        <v>304290000</v>
      </c>
      <c r="C90" s="126">
        <v>46971900</v>
      </c>
      <c r="D90" s="126">
        <v>351261900</v>
      </c>
      <c r="K90" s="124"/>
      <c r="L90" s="126"/>
      <c r="M90" s="126"/>
      <c r="N90" s="126"/>
    </row>
    <row r="91" spans="1:14" ht="12.75">
      <c r="A91" s="124">
        <v>51318</v>
      </c>
      <c r="B91" s="126">
        <v>234730000</v>
      </c>
      <c r="C91" s="126">
        <v>28714500</v>
      </c>
      <c r="D91" s="126">
        <v>263444500</v>
      </c>
      <c r="K91" s="124"/>
      <c r="L91" s="126"/>
      <c r="M91" s="126"/>
      <c r="N91" s="126"/>
    </row>
    <row r="92" spans="1:14" ht="12.75">
      <c r="A92" s="124">
        <v>51683</v>
      </c>
      <c r="B92" s="126">
        <v>161000000</v>
      </c>
      <c r="C92" s="126">
        <v>14630700</v>
      </c>
      <c r="D92" s="126">
        <v>175630700</v>
      </c>
      <c r="K92" s="124"/>
      <c r="L92" s="126"/>
      <c r="M92" s="126"/>
      <c r="N92" s="126"/>
    </row>
    <row r="93" spans="1:14" ht="15">
      <c r="A93" s="124">
        <v>52048</v>
      </c>
      <c r="B93" s="127">
        <v>82845000</v>
      </c>
      <c r="C93" s="127">
        <v>4970700</v>
      </c>
      <c r="D93" s="127">
        <v>87815700</v>
      </c>
      <c r="K93" s="124"/>
      <c r="L93" s="127"/>
      <c r="M93" s="127"/>
      <c r="N93" s="127"/>
    </row>
    <row r="94" spans="1:14" ht="15">
      <c r="A94" s="124"/>
      <c r="B94" s="128">
        <f>SUM(B59:B93)</f>
        <v>7252530000</v>
      </c>
      <c r="C94" s="128">
        <f>SUM(C59:C93)</f>
        <v>8554114800</v>
      </c>
      <c r="D94" s="128">
        <f>SUM(D59:D93)</f>
        <v>15806644800</v>
      </c>
      <c r="K94" s="124"/>
      <c r="L94" s="125"/>
      <c r="M94" s="125"/>
      <c r="N94" s="125"/>
    </row>
    <row r="95" spans="1:14" ht="15">
      <c r="A95" s="58" t="s">
        <v>140</v>
      </c>
      <c r="B95" s="154">
        <f>SUM(B59:B85)</f>
        <v>4876260000</v>
      </c>
      <c r="C95" s="154">
        <f>SUM(C59:C85)</f>
        <v>8032491300</v>
      </c>
      <c r="D95" s="154">
        <f>SUM(D59:D85)</f>
        <v>12908751300</v>
      </c>
      <c r="K95" s="124"/>
      <c r="L95" s="125"/>
      <c r="M95" s="125"/>
      <c r="N95" s="125"/>
    </row>
    <row r="97" ht="12.75">
      <c r="A97" s="129" t="s">
        <v>92</v>
      </c>
    </row>
    <row r="98" ht="12.75">
      <c r="A98" s="130" t="s">
        <v>102</v>
      </c>
    </row>
    <row r="99" ht="12.75">
      <c r="A99" s="130" t="s">
        <v>103</v>
      </c>
    </row>
    <row r="100" ht="12.75">
      <c r="A100" s="130" t="s">
        <v>104</v>
      </c>
    </row>
    <row r="101" ht="12.75">
      <c r="A101" s="130" t="s">
        <v>96</v>
      </c>
    </row>
    <row r="102" ht="12.75">
      <c r="A102" s="130" t="s">
        <v>97</v>
      </c>
    </row>
    <row r="103" ht="12.75">
      <c r="A103" s="130" t="s">
        <v>98</v>
      </c>
    </row>
    <row r="104" ht="12.75">
      <c r="A104" s="130" t="s">
        <v>105</v>
      </c>
    </row>
    <row r="105" ht="12.75">
      <c r="A105" s="130" t="s">
        <v>106</v>
      </c>
    </row>
    <row r="108" spans="1:4" ht="12.75">
      <c r="A108" s="187" t="s">
        <v>89</v>
      </c>
      <c r="B108" s="187"/>
      <c r="C108" s="187"/>
      <c r="D108" s="187"/>
    </row>
    <row r="109" spans="1:4" ht="12.75">
      <c r="A109" s="187" t="s">
        <v>90</v>
      </c>
      <c r="B109" s="187"/>
      <c r="C109" s="187"/>
      <c r="D109" s="187"/>
    </row>
    <row r="111" spans="1:4" ht="12.75">
      <c r="A111" s="187" t="s">
        <v>107</v>
      </c>
      <c r="B111" s="187"/>
      <c r="C111" s="187"/>
      <c r="D111" s="187"/>
    </row>
    <row r="113" spans="1:4" ht="12.75">
      <c r="A113" s="33" t="s">
        <v>37</v>
      </c>
      <c r="B113" s="33" t="s">
        <v>43</v>
      </c>
      <c r="C113" s="33" t="s">
        <v>35</v>
      </c>
      <c r="D113" s="33" t="s">
        <v>9</v>
      </c>
    </row>
    <row r="114" spans="1:4" ht="12.75">
      <c r="A114" s="124">
        <v>38534</v>
      </c>
      <c r="B114" s="125">
        <v>12260000</v>
      </c>
      <c r="C114" s="125">
        <v>48852100</v>
      </c>
      <c r="D114" s="125">
        <f aca="true" t="shared" si="0" ref="D114:D151">+B114+C114</f>
        <v>61112100</v>
      </c>
    </row>
    <row r="115" spans="1:4" ht="12.75">
      <c r="A115" s="124">
        <v>38899</v>
      </c>
      <c r="B115" s="126">
        <v>24675000</v>
      </c>
      <c r="C115" s="126">
        <v>99250450</v>
      </c>
      <c r="D115" s="126">
        <f t="shared" si="0"/>
        <v>123925450</v>
      </c>
    </row>
    <row r="116" spans="1:4" ht="12.75">
      <c r="A116" s="124">
        <v>39264</v>
      </c>
      <c r="B116" s="126">
        <v>37300000</v>
      </c>
      <c r="C116" s="126">
        <v>151157175</v>
      </c>
      <c r="D116" s="126">
        <f t="shared" si="0"/>
        <v>188457175</v>
      </c>
    </row>
    <row r="117" spans="1:4" ht="12.75">
      <c r="A117" s="124">
        <v>39630</v>
      </c>
      <c r="B117" s="126">
        <f aca="true" t="shared" si="1" ref="B117:C145">+B10+B59</f>
        <v>54730000</v>
      </c>
      <c r="C117" s="126">
        <f t="shared" si="1"/>
        <v>221543762.5</v>
      </c>
      <c r="D117" s="126">
        <f t="shared" si="0"/>
        <v>276273762.5</v>
      </c>
    </row>
    <row r="118" spans="1:4" ht="12.75">
      <c r="A118" s="124">
        <v>39995</v>
      </c>
      <c r="B118" s="126">
        <f t="shared" si="1"/>
        <v>73195000</v>
      </c>
      <c r="C118" s="126">
        <f t="shared" si="1"/>
        <v>290890087.5</v>
      </c>
      <c r="D118" s="126">
        <f t="shared" si="0"/>
        <v>364085087.5</v>
      </c>
    </row>
    <row r="119" spans="1:4" ht="12.75">
      <c r="A119" s="124">
        <v>40360</v>
      </c>
      <c r="B119" s="126">
        <f t="shared" si="1"/>
        <v>92760000</v>
      </c>
      <c r="C119" s="126">
        <f t="shared" si="1"/>
        <v>359134350</v>
      </c>
      <c r="D119" s="126">
        <f t="shared" si="0"/>
        <v>451894350</v>
      </c>
    </row>
    <row r="120" spans="1:4" ht="12.75">
      <c r="A120" s="124">
        <v>40725</v>
      </c>
      <c r="B120" s="126">
        <f t="shared" si="1"/>
        <v>113505000</v>
      </c>
      <c r="C120" s="126">
        <f t="shared" si="1"/>
        <v>426210875</v>
      </c>
      <c r="D120" s="126">
        <f t="shared" si="0"/>
        <v>539715875</v>
      </c>
    </row>
    <row r="121" spans="1:4" ht="12.75">
      <c r="A121" s="124">
        <v>41091</v>
      </c>
      <c r="B121" s="126">
        <f t="shared" si="1"/>
        <v>135480000</v>
      </c>
      <c r="C121" s="126">
        <f t="shared" si="1"/>
        <v>492049237.5</v>
      </c>
      <c r="D121" s="126">
        <f t="shared" si="0"/>
        <v>627529237.5</v>
      </c>
    </row>
    <row r="122" spans="1:4" ht="12.75">
      <c r="A122" s="124">
        <v>41456</v>
      </c>
      <c r="B122" s="126">
        <f t="shared" si="1"/>
        <v>158765000</v>
      </c>
      <c r="C122" s="126">
        <f t="shared" si="1"/>
        <v>556575962.5</v>
      </c>
      <c r="D122" s="126">
        <f t="shared" si="0"/>
        <v>715340962.5</v>
      </c>
    </row>
    <row r="123" spans="1:4" ht="12.75">
      <c r="A123" s="124">
        <v>41821</v>
      </c>
      <c r="B123" s="126">
        <f t="shared" si="1"/>
        <v>168160000</v>
      </c>
      <c r="C123" s="126">
        <f t="shared" si="1"/>
        <v>547187562.5</v>
      </c>
      <c r="D123" s="126">
        <f t="shared" si="0"/>
        <v>715347562.5</v>
      </c>
    </row>
    <row r="124" spans="1:4" ht="12.75">
      <c r="A124" s="124">
        <v>42186</v>
      </c>
      <c r="B124" s="126">
        <f t="shared" si="1"/>
        <v>178100000</v>
      </c>
      <c r="C124" s="126">
        <f t="shared" si="1"/>
        <v>537243137.5</v>
      </c>
      <c r="D124" s="126">
        <f t="shared" si="0"/>
        <v>715343137.5</v>
      </c>
    </row>
    <row r="125" spans="1:4" ht="12.75">
      <c r="A125" s="124">
        <v>42552</v>
      </c>
      <c r="B125" s="126">
        <f t="shared" si="1"/>
        <v>188630000</v>
      </c>
      <c r="C125" s="126">
        <f t="shared" si="1"/>
        <v>526710400</v>
      </c>
      <c r="D125" s="126">
        <f t="shared" si="0"/>
        <v>715340400</v>
      </c>
    </row>
    <row r="126" spans="1:4" ht="12.75">
      <c r="A126" s="124">
        <v>42917</v>
      </c>
      <c r="B126" s="126">
        <f t="shared" si="1"/>
        <v>199795000</v>
      </c>
      <c r="C126" s="126">
        <f t="shared" si="1"/>
        <v>515554400</v>
      </c>
      <c r="D126" s="126">
        <f t="shared" si="0"/>
        <v>715349400</v>
      </c>
    </row>
    <row r="127" spans="1:4" ht="12.75">
      <c r="A127" s="124">
        <v>43282</v>
      </c>
      <c r="B127" s="126">
        <f t="shared" si="1"/>
        <v>211605000</v>
      </c>
      <c r="C127" s="126">
        <f t="shared" si="1"/>
        <v>503737562.5</v>
      </c>
      <c r="D127" s="126">
        <f t="shared" si="0"/>
        <v>715342562.5</v>
      </c>
    </row>
    <row r="128" spans="1:4" ht="12.75">
      <c r="A128" s="124">
        <v>43647</v>
      </c>
      <c r="B128" s="126">
        <f t="shared" si="1"/>
        <v>224120000</v>
      </c>
      <c r="C128" s="126">
        <f t="shared" si="1"/>
        <v>491221637.5</v>
      </c>
      <c r="D128" s="126">
        <f t="shared" si="0"/>
        <v>715341637.5</v>
      </c>
    </row>
    <row r="129" spans="1:4" ht="12.75">
      <c r="A129" s="124">
        <v>44013</v>
      </c>
      <c r="B129" s="126">
        <f t="shared" si="1"/>
        <v>237380000</v>
      </c>
      <c r="C129" s="126">
        <f t="shared" si="1"/>
        <v>477964887.5</v>
      </c>
      <c r="D129" s="126">
        <f t="shared" si="0"/>
        <v>715344887.5</v>
      </c>
    </row>
    <row r="130" spans="1:4" ht="12.75">
      <c r="A130" s="124">
        <v>44378</v>
      </c>
      <c r="B130" s="126">
        <f t="shared" si="1"/>
        <v>251415000</v>
      </c>
      <c r="C130" s="126">
        <f t="shared" si="1"/>
        <v>463923162.5</v>
      </c>
      <c r="D130" s="126">
        <f t="shared" si="0"/>
        <v>715338162.5</v>
      </c>
    </row>
    <row r="131" spans="1:4" ht="12.75">
      <c r="A131" s="124">
        <v>44743</v>
      </c>
      <c r="B131" s="126">
        <f t="shared" si="1"/>
        <v>266290000</v>
      </c>
      <c r="C131" s="126">
        <f t="shared" si="1"/>
        <v>449050550</v>
      </c>
      <c r="D131" s="126">
        <f t="shared" si="0"/>
        <v>715340550</v>
      </c>
    </row>
    <row r="132" spans="1:4" ht="12.75">
      <c r="A132" s="124">
        <v>45108</v>
      </c>
      <c r="B132" s="126">
        <f t="shared" si="1"/>
        <v>282040000</v>
      </c>
      <c r="C132" s="126">
        <f t="shared" si="1"/>
        <v>433297287.5</v>
      </c>
      <c r="D132" s="126">
        <f t="shared" si="0"/>
        <v>715337287.5</v>
      </c>
    </row>
    <row r="133" spans="1:4" ht="12.75">
      <c r="A133" s="124">
        <v>45474</v>
      </c>
      <c r="B133" s="126">
        <f t="shared" si="1"/>
        <v>298735000</v>
      </c>
      <c r="C133" s="126">
        <f t="shared" si="1"/>
        <v>416611525</v>
      </c>
      <c r="D133" s="126">
        <f t="shared" si="0"/>
        <v>715346525</v>
      </c>
    </row>
    <row r="134" spans="1:4" ht="12.75">
      <c r="A134" s="124">
        <v>45839</v>
      </c>
      <c r="B134" s="126">
        <f t="shared" si="1"/>
        <v>316405000</v>
      </c>
      <c r="C134" s="126">
        <f t="shared" si="1"/>
        <v>398937287.5</v>
      </c>
      <c r="D134" s="126">
        <f t="shared" si="0"/>
        <v>715342287.5</v>
      </c>
    </row>
    <row r="135" spans="1:4" ht="12.75">
      <c r="A135" s="124">
        <v>46204</v>
      </c>
      <c r="B135" s="126">
        <f t="shared" si="1"/>
        <v>335120000</v>
      </c>
      <c r="C135" s="126">
        <f t="shared" si="1"/>
        <v>380216787.5</v>
      </c>
      <c r="D135" s="126">
        <f t="shared" si="0"/>
        <v>715336787.5</v>
      </c>
    </row>
    <row r="136" spans="1:4" ht="12.75">
      <c r="A136" s="124">
        <v>46569</v>
      </c>
      <c r="B136" s="126">
        <f t="shared" si="1"/>
        <v>354945000</v>
      </c>
      <c r="C136" s="126">
        <f t="shared" si="1"/>
        <v>360388087.5</v>
      </c>
      <c r="D136" s="126">
        <f t="shared" si="0"/>
        <v>715333087.5</v>
      </c>
    </row>
    <row r="137" spans="1:4" ht="12.75">
      <c r="A137" s="124">
        <v>46935</v>
      </c>
      <c r="B137" s="126">
        <f t="shared" si="1"/>
        <v>375950000</v>
      </c>
      <c r="C137" s="126">
        <f t="shared" si="1"/>
        <v>339385425</v>
      </c>
      <c r="D137" s="126">
        <f t="shared" si="0"/>
        <v>715335425</v>
      </c>
    </row>
    <row r="138" spans="1:4" ht="12.75">
      <c r="A138" s="124">
        <v>47300</v>
      </c>
      <c r="B138" s="126">
        <f t="shared" si="1"/>
        <v>398205000</v>
      </c>
      <c r="C138" s="126">
        <f t="shared" si="1"/>
        <v>317138875</v>
      </c>
      <c r="D138" s="126">
        <f t="shared" si="0"/>
        <v>715343875</v>
      </c>
    </row>
    <row r="139" spans="1:4" ht="12.75">
      <c r="A139" s="124">
        <v>47665</v>
      </c>
      <c r="B139" s="126">
        <f t="shared" si="1"/>
        <v>421765000</v>
      </c>
      <c r="C139" s="126">
        <f t="shared" si="1"/>
        <v>293574375</v>
      </c>
      <c r="D139" s="126">
        <f t="shared" si="0"/>
        <v>715339375</v>
      </c>
    </row>
    <row r="140" spans="1:4" ht="12.75">
      <c r="A140" s="124">
        <v>48030</v>
      </c>
      <c r="B140" s="126">
        <f t="shared" si="1"/>
        <v>446725000</v>
      </c>
      <c r="C140" s="126">
        <f t="shared" si="1"/>
        <v>268614550</v>
      </c>
      <c r="D140" s="126">
        <f t="shared" si="0"/>
        <v>715339550</v>
      </c>
    </row>
    <row r="141" spans="1:4" ht="12.75">
      <c r="A141" s="124">
        <v>48396</v>
      </c>
      <c r="B141" s="126">
        <f t="shared" si="1"/>
        <v>473165000</v>
      </c>
      <c r="C141" s="126">
        <f t="shared" si="1"/>
        <v>242176437.5</v>
      </c>
      <c r="D141" s="126">
        <f t="shared" si="0"/>
        <v>715341437.5</v>
      </c>
    </row>
    <row r="142" spans="1:4" ht="12.75">
      <c r="A142" s="124">
        <v>48761</v>
      </c>
      <c r="B142" s="126">
        <f t="shared" si="1"/>
        <v>501165000</v>
      </c>
      <c r="C142" s="126">
        <f t="shared" si="1"/>
        <v>214172325</v>
      </c>
      <c r="D142" s="126">
        <f t="shared" si="0"/>
        <v>715337325</v>
      </c>
    </row>
    <row r="143" spans="1:4" ht="12.75">
      <c r="A143" s="124">
        <v>49126</v>
      </c>
      <c r="B143" s="126">
        <f t="shared" si="1"/>
        <v>530835000</v>
      </c>
      <c r="C143" s="126">
        <f t="shared" si="1"/>
        <v>184509750</v>
      </c>
      <c r="D143" s="126">
        <f t="shared" si="0"/>
        <v>715344750</v>
      </c>
    </row>
    <row r="144" spans="1:4" ht="12.75">
      <c r="A144" s="124">
        <v>49491</v>
      </c>
      <c r="B144" s="126">
        <f t="shared" si="1"/>
        <v>501135000</v>
      </c>
      <c r="C144" s="126">
        <f t="shared" si="1"/>
        <v>153089712.5</v>
      </c>
      <c r="D144" s="126">
        <f t="shared" si="0"/>
        <v>654224712.5</v>
      </c>
    </row>
    <row r="145" spans="1:4" ht="12.75">
      <c r="A145" s="124">
        <v>49857</v>
      </c>
      <c r="B145" s="126">
        <f t="shared" si="1"/>
        <v>468245000</v>
      </c>
      <c r="C145" s="126">
        <f t="shared" si="1"/>
        <v>123170100</v>
      </c>
      <c r="D145" s="126">
        <f t="shared" si="0"/>
        <v>591415100</v>
      </c>
    </row>
    <row r="146" spans="1:4" ht="12.75">
      <c r="A146" s="124">
        <v>50222</v>
      </c>
      <c r="B146" s="126">
        <f aca="true" t="shared" si="2" ref="B146:C151">+B88</f>
        <v>431815000</v>
      </c>
      <c r="C146" s="126">
        <f t="shared" si="2"/>
        <v>95075400</v>
      </c>
      <c r="D146" s="126">
        <f t="shared" si="0"/>
        <v>526890400</v>
      </c>
    </row>
    <row r="147" spans="1:4" ht="12.75">
      <c r="A147" s="124">
        <v>50587</v>
      </c>
      <c r="B147" s="126">
        <f t="shared" si="2"/>
        <v>369910000</v>
      </c>
      <c r="C147" s="126">
        <f t="shared" si="2"/>
        <v>69166500</v>
      </c>
      <c r="D147" s="126">
        <f t="shared" si="0"/>
        <v>439076500</v>
      </c>
    </row>
    <row r="148" spans="1:4" ht="12.75">
      <c r="A148" s="124">
        <v>50952</v>
      </c>
      <c r="B148" s="126">
        <f t="shared" si="2"/>
        <v>304290000</v>
      </c>
      <c r="C148" s="126">
        <f t="shared" si="2"/>
        <v>46971900</v>
      </c>
      <c r="D148" s="126">
        <f t="shared" si="0"/>
        <v>351261900</v>
      </c>
    </row>
    <row r="149" spans="1:4" ht="12.75">
      <c r="A149" s="124">
        <v>51318</v>
      </c>
      <c r="B149" s="126">
        <f t="shared" si="2"/>
        <v>234730000</v>
      </c>
      <c r="C149" s="126">
        <f t="shared" si="2"/>
        <v>28714500</v>
      </c>
      <c r="D149" s="126">
        <f t="shared" si="0"/>
        <v>263444500</v>
      </c>
    </row>
    <row r="150" spans="1:4" ht="12.75">
      <c r="A150" s="124">
        <v>51683</v>
      </c>
      <c r="B150" s="126">
        <f t="shared" si="2"/>
        <v>161000000</v>
      </c>
      <c r="C150" s="126">
        <f t="shared" si="2"/>
        <v>14630700</v>
      </c>
      <c r="D150" s="126">
        <f t="shared" si="0"/>
        <v>175630700</v>
      </c>
    </row>
    <row r="151" spans="1:4" ht="15">
      <c r="A151" s="124">
        <v>52048</v>
      </c>
      <c r="B151" s="127">
        <f t="shared" si="2"/>
        <v>82845000</v>
      </c>
      <c r="C151" s="127">
        <f t="shared" si="2"/>
        <v>4970700</v>
      </c>
      <c r="D151" s="127">
        <f t="shared" si="0"/>
        <v>87815700</v>
      </c>
    </row>
    <row r="152" spans="2:4" ht="15">
      <c r="B152" s="128">
        <f>SUM(B114:B151)</f>
        <v>9917190000</v>
      </c>
      <c r="C152" s="128">
        <f>SUM(C114:C151)</f>
        <v>11543069525</v>
      </c>
      <c r="D152" s="128">
        <f>SUM(D114:D151)</f>
        <v>21460259525</v>
      </c>
    </row>
    <row r="154" ht="12.75">
      <c r="A154" s="129" t="s">
        <v>92</v>
      </c>
    </row>
    <row r="155" ht="12.75">
      <c r="A155" s="130" t="s">
        <v>108</v>
      </c>
    </row>
    <row r="156" ht="12.75">
      <c r="A156" s="130" t="s">
        <v>94</v>
      </c>
    </row>
    <row r="157" spans="1:2" ht="12.75">
      <c r="A157" s="130"/>
      <c r="B157" s="130" t="s">
        <v>109</v>
      </c>
    </row>
    <row r="158" ht="12.75">
      <c r="A158" s="130" t="s">
        <v>110</v>
      </c>
    </row>
    <row r="159" ht="12.75">
      <c r="A159" s="130" t="s">
        <v>96</v>
      </c>
    </row>
    <row r="160" ht="12.75">
      <c r="A160" s="130" t="s">
        <v>97</v>
      </c>
    </row>
    <row r="161" ht="12.75">
      <c r="A161" s="130" t="s">
        <v>98</v>
      </c>
    </row>
    <row r="162" ht="12.75">
      <c r="A162" s="130" t="s">
        <v>111</v>
      </c>
    </row>
    <row r="163" ht="12.75">
      <c r="A163" s="130" t="s">
        <v>112</v>
      </c>
    </row>
    <row r="164" ht="12.75">
      <c r="B164" s="131" t="s">
        <v>113</v>
      </c>
    </row>
  </sheetData>
  <mergeCells count="9">
    <mergeCell ref="A1:D1"/>
    <mergeCell ref="A4:D4"/>
    <mergeCell ref="A53:D53"/>
    <mergeCell ref="A54:D54"/>
    <mergeCell ref="A108:D108"/>
    <mergeCell ref="A109:D109"/>
    <mergeCell ref="A111:D111"/>
    <mergeCell ref="A2:D2"/>
    <mergeCell ref="A56:D56"/>
  </mergeCells>
  <printOptions horizontalCentered="1"/>
  <pageMargins left="0.68" right="0.87" top="0.75" bottom="1" header="0.5" footer="0.5"/>
  <pageSetup horizontalDpi="600" verticalDpi="600" orientation="portrait" scale="89" r:id="rId1"/>
  <headerFooter alignWithMargins="0">
    <oddFooter>&amp;L&amp;8Prepared by the Division of Bond Finance&amp;C&amp;8&amp;D  &amp;T&amp;R&amp;8&amp;F  &amp;A</oddFooter>
  </headerFooter>
  <rowBreaks count="2" manualBreakCount="2">
    <brk id="50" max="255" man="1"/>
    <brk id="10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9" width="11.28125" style="0" customWidth="1"/>
    <col min="10" max="11" width="14.421875" style="0" customWidth="1"/>
    <col min="12" max="12" width="11.57421875" style="0" customWidth="1"/>
    <col min="39" max="39" width="10.421875" style="0" customWidth="1"/>
  </cols>
  <sheetData>
    <row r="1" spans="1:9" ht="15">
      <c r="A1" s="8" t="s">
        <v>87</v>
      </c>
      <c r="B1" s="8"/>
      <c r="C1" s="8"/>
      <c r="D1" s="9"/>
      <c r="E1" s="9"/>
      <c r="F1" s="9"/>
      <c r="G1" s="9"/>
      <c r="H1" s="10"/>
      <c r="I1" s="10"/>
    </row>
    <row r="2" spans="1:7" ht="15">
      <c r="A2" s="8"/>
      <c r="B2" s="8"/>
      <c r="C2" s="8"/>
      <c r="D2" s="9"/>
      <c r="E2" s="9"/>
      <c r="F2" s="9"/>
      <c r="G2" s="9"/>
    </row>
    <row r="3" spans="1:3" ht="15">
      <c r="A3" s="11"/>
      <c r="B3" s="11"/>
      <c r="C3" s="11"/>
    </row>
    <row r="4" spans="2:7" ht="12.75">
      <c r="B4" s="12" t="s">
        <v>19</v>
      </c>
      <c r="C4" s="13"/>
      <c r="D4" s="14"/>
      <c r="E4" s="14"/>
      <c r="F4" s="14"/>
      <c r="G4" s="14"/>
    </row>
    <row r="5" spans="2:9" ht="12.75">
      <c r="B5" s="15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7"/>
      <c r="H5" s="18" t="s">
        <v>16</v>
      </c>
      <c r="I5" s="39"/>
    </row>
    <row r="6" spans="2:9" ht="12.75">
      <c r="B6" s="19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1" t="s">
        <v>31</v>
      </c>
      <c r="I6" s="40"/>
    </row>
    <row r="7" spans="2:10" ht="12.75">
      <c r="B7" s="22">
        <f>H7*E12</f>
        <v>44.19230759681551</v>
      </c>
      <c r="C7" s="23">
        <v>0</v>
      </c>
      <c r="D7" s="23">
        <f>H7-G7-F7-E7-C7-B7</f>
        <v>4353.845999999999</v>
      </c>
      <c r="E7" s="23">
        <f>F12*E49</f>
        <v>21.189452084737137</v>
      </c>
      <c r="F7" s="23">
        <v>0</v>
      </c>
      <c r="G7" s="23">
        <v>0.003</v>
      </c>
      <c r="H7" s="24">
        <v>4419.230759681551</v>
      </c>
      <c r="I7" s="41">
        <f>(185/962)*J7</f>
        <v>4353.846153846154</v>
      </c>
      <c r="J7" s="171">
        <v>22640</v>
      </c>
    </row>
    <row r="9" ht="12.75">
      <c r="B9" s="12" t="s">
        <v>32</v>
      </c>
    </row>
    <row r="10" spans="2:7" ht="12.75">
      <c r="B10" s="15" t="s">
        <v>33</v>
      </c>
      <c r="C10" s="16" t="s">
        <v>34</v>
      </c>
      <c r="D10" s="16" t="s">
        <v>35</v>
      </c>
      <c r="E10" s="16" t="s">
        <v>20</v>
      </c>
      <c r="F10" s="16" t="s">
        <v>23</v>
      </c>
      <c r="G10" s="25" t="s">
        <v>36</v>
      </c>
    </row>
    <row r="11" spans="2:7" ht="12.75">
      <c r="B11" s="19" t="s">
        <v>37</v>
      </c>
      <c r="C11" s="20" t="s">
        <v>38</v>
      </c>
      <c r="D11" s="20" t="s">
        <v>39</v>
      </c>
      <c r="E11" s="20" t="s">
        <v>25</v>
      </c>
      <c r="F11" s="20" t="s">
        <v>28</v>
      </c>
      <c r="G11" s="26" t="s">
        <v>40</v>
      </c>
    </row>
    <row r="12" spans="2:7" ht="12.75">
      <c r="B12" s="27">
        <v>38412</v>
      </c>
      <c r="C12" s="28">
        <v>0</v>
      </c>
      <c r="D12" s="29">
        <v>0.06</v>
      </c>
      <c r="E12" s="29">
        <v>0.01</v>
      </c>
      <c r="F12" s="29">
        <v>0.0022</v>
      </c>
      <c r="G12" s="30">
        <v>30</v>
      </c>
    </row>
    <row r="14" ht="12.75">
      <c r="B14" s="31" t="s">
        <v>41</v>
      </c>
    </row>
    <row r="15" ht="12.75">
      <c r="B15" s="31"/>
    </row>
    <row r="16" spans="3:5" ht="12.75">
      <c r="C16" s="32"/>
      <c r="D16" s="32"/>
      <c r="E16" s="32" t="s">
        <v>42</v>
      </c>
    </row>
    <row r="17" spans="2:5" ht="12.75">
      <c r="B17" s="33"/>
      <c r="C17" s="33" t="s">
        <v>43</v>
      </c>
      <c r="D17" s="33" t="s">
        <v>35</v>
      </c>
      <c r="E17" s="33" t="s">
        <v>44</v>
      </c>
    </row>
    <row r="18" spans="1:5" ht="12.75">
      <c r="A18">
        <v>1</v>
      </c>
      <c r="B18" s="34">
        <v>2018</v>
      </c>
      <c r="C18" s="49">
        <f aca="true" t="shared" si="0" ref="C18:C47">PPMT($D$12,A18,$G$12,-$H$7)</f>
        <v>55.898458733305915</v>
      </c>
      <c r="D18" s="49">
        <f aca="true" t="shared" si="1" ref="D18:D47">IPMT($D$12,A18,$G$12,-$H$7)</f>
        <v>265.15384558089306</v>
      </c>
      <c r="E18" s="49">
        <f aca="true" t="shared" si="2" ref="E18:E47">D18+C18</f>
        <v>321.052304314199</v>
      </c>
    </row>
    <row r="19" spans="1:5" ht="12.75">
      <c r="A19">
        <v>2</v>
      </c>
      <c r="B19" s="34">
        <f aca="true" t="shared" si="3" ref="B19:B47">B18+1</f>
        <v>2019</v>
      </c>
      <c r="C19" s="49">
        <f t="shared" si="0"/>
        <v>59.25236625730429</v>
      </c>
      <c r="D19" s="49">
        <f t="shared" si="1"/>
        <v>261.7999380568947</v>
      </c>
      <c r="E19" s="49">
        <f t="shared" si="2"/>
        <v>321.052304314199</v>
      </c>
    </row>
    <row r="20" spans="1:5" ht="12.75">
      <c r="A20">
        <v>3</v>
      </c>
      <c r="B20" s="34">
        <f t="shared" si="3"/>
        <v>2020</v>
      </c>
      <c r="C20" s="49">
        <f t="shared" si="0"/>
        <v>62.80750823274258</v>
      </c>
      <c r="D20" s="49">
        <f t="shared" si="1"/>
        <v>258.2447960814564</v>
      </c>
      <c r="E20" s="49">
        <f t="shared" si="2"/>
        <v>321.052304314199</v>
      </c>
    </row>
    <row r="21" spans="1:5" ht="12.75">
      <c r="A21">
        <v>4</v>
      </c>
      <c r="B21" s="34">
        <f t="shared" si="3"/>
        <v>2021</v>
      </c>
      <c r="C21" s="49">
        <f t="shared" si="0"/>
        <v>66.57595872670714</v>
      </c>
      <c r="D21" s="49">
        <f t="shared" si="1"/>
        <v>254.47634558749183</v>
      </c>
      <c r="E21" s="49">
        <f t="shared" si="2"/>
        <v>321.052304314199</v>
      </c>
    </row>
    <row r="22" spans="1:5" ht="12.75">
      <c r="A22">
        <v>5</v>
      </c>
      <c r="B22" s="34">
        <f t="shared" si="3"/>
        <v>2022</v>
      </c>
      <c r="C22" s="49">
        <f t="shared" si="0"/>
        <v>70.5705162503096</v>
      </c>
      <c r="D22" s="49">
        <f t="shared" si="1"/>
        <v>250.48178806388938</v>
      </c>
      <c r="E22" s="49">
        <f t="shared" si="2"/>
        <v>321.052304314199</v>
      </c>
    </row>
    <row r="23" spans="1:5" ht="12.75">
      <c r="A23">
        <v>6</v>
      </c>
      <c r="B23" s="34">
        <f t="shared" si="3"/>
        <v>2023</v>
      </c>
      <c r="C23" s="49">
        <f t="shared" si="0"/>
        <v>74.80474722532813</v>
      </c>
      <c r="D23" s="49">
        <f t="shared" si="1"/>
        <v>246.24755708887085</v>
      </c>
      <c r="E23" s="49">
        <f t="shared" si="2"/>
        <v>321.052304314199</v>
      </c>
    </row>
    <row r="24" spans="1:5" ht="12.75">
      <c r="A24">
        <v>7</v>
      </c>
      <c r="B24" s="34">
        <f t="shared" si="3"/>
        <v>2024</v>
      </c>
      <c r="C24" s="49">
        <f t="shared" si="0"/>
        <v>79.29303205884779</v>
      </c>
      <c r="D24" s="49">
        <f t="shared" si="1"/>
        <v>241.7592722553512</v>
      </c>
      <c r="E24" s="49">
        <f t="shared" si="2"/>
        <v>321.052304314199</v>
      </c>
    </row>
    <row r="25" spans="1:5" ht="12.75">
      <c r="A25">
        <v>8</v>
      </c>
      <c r="B25" s="34">
        <f t="shared" si="3"/>
        <v>2025</v>
      </c>
      <c r="C25" s="49">
        <f t="shared" si="0"/>
        <v>84.0506139823787</v>
      </c>
      <c r="D25" s="49">
        <f t="shared" si="1"/>
        <v>237.00169033182027</v>
      </c>
      <c r="E25" s="49">
        <f t="shared" si="2"/>
        <v>321.052304314199</v>
      </c>
    </row>
    <row r="26" spans="1:5" ht="12.75">
      <c r="A26">
        <v>9</v>
      </c>
      <c r="B26" s="34">
        <f t="shared" si="3"/>
        <v>2026</v>
      </c>
      <c r="C26" s="49">
        <f t="shared" si="0"/>
        <v>89.09365082132143</v>
      </c>
      <c r="D26" s="49">
        <f t="shared" si="1"/>
        <v>231.95865349287754</v>
      </c>
      <c r="E26" s="49">
        <f t="shared" si="2"/>
        <v>321.052304314199</v>
      </c>
    </row>
    <row r="27" spans="1:5" ht="12.75">
      <c r="A27">
        <v>10</v>
      </c>
      <c r="B27" s="34">
        <f t="shared" si="3"/>
        <v>2027</v>
      </c>
      <c r="C27" s="49">
        <f t="shared" si="0"/>
        <v>94.43926987060073</v>
      </c>
      <c r="D27" s="49">
        <f t="shared" si="1"/>
        <v>226.61303444359825</v>
      </c>
      <c r="E27" s="49">
        <f t="shared" si="2"/>
        <v>321.052304314199</v>
      </c>
    </row>
    <row r="28" spans="1:5" ht="12.75">
      <c r="A28">
        <v>11</v>
      </c>
      <c r="B28" s="34">
        <f t="shared" si="3"/>
        <v>2028</v>
      </c>
      <c r="C28" s="49">
        <f t="shared" si="0"/>
        <v>100.10562606283673</v>
      </c>
      <c r="D28" s="49">
        <f t="shared" si="1"/>
        <v>220.94667825136224</v>
      </c>
      <c r="E28" s="49">
        <f t="shared" si="2"/>
        <v>321.052304314199</v>
      </c>
    </row>
    <row r="29" spans="1:5" ht="12.75">
      <c r="A29">
        <v>12</v>
      </c>
      <c r="B29" s="34">
        <f t="shared" si="3"/>
        <v>2029</v>
      </c>
      <c r="C29" s="49">
        <f t="shared" si="0"/>
        <v>106.11196362660692</v>
      </c>
      <c r="D29" s="49">
        <f t="shared" si="1"/>
        <v>214.94034068759206</v>
      </c>
      <c r="E29" s="49">
        <f t="shared" si="2"/>
        <v>321.052304314199</v>
      </c>
    </row>
    <row r="30" spans="1:5" ht="12.75">
      <c r="A30">
        <v>13</v>
      </c>
      <c r="B30" s="34">
        <f t="shared" si="3"/>
        <v>2030</v>
      </c>
      <c r="C30" s="49">
        <f t="shared" si="0"/>
        <v>112.47868144420343</v>
      </c>
      <c r="D30" s="49">
        <f t="shared" si="1"/>
        <v>208.57362286999555</v>
      </c>
      <c r="E30" s="49">
        <f t="shared" si="2"/>
        <v>321.052304314199</v>
      </c>
    </row>
    <row r="31" spans="1:5" ht="12.75">
      <c r="A31">
        <v>14</v>
      </c>
      <c r="B31" s="34">
        <f t="shared" si="3"/>
        <v>2031</v>
      </c>
      <c r="C31" s="49">
        <f t="shared" si="0"/>
        <v>119.22740233085563</v>
      </c>
      <c r="D31" s="49">
        <f t="shared" si="1"/>
        <v>201.82490198334335</v>
      </c>
      <c r="E31" s="49">
        <f t="shared" si="2"/>
        <v>321.052304314199</v>
      </c>
    </row>
    <row r="32" spans="1:5" ht="12.75">
      <c r="A32">
        <v>15</v>
      </c>
      <c r="B32" s="34">
        <f t="shared" si="3"/>
        <v>2032</v>
      </c>
      <c r="C32" s="49">
        <f t="shared" si="0"/>
        <v>126.38104647070688</v>
      </c>
      <c r="D32" s="49">
        <f t="shared" si="1"/>
        <v>194.6712578434921</v>
      </c>
      <c r="E32" s="49">
        <f t="shared" si="2"/>
        <v>321.052304314199</v>
      </c>
    </row>
    <row r="33" spans="1:5" ht="12.75">
      <c r="A33">
        <v>16</v>
      </c>
      <c r="B33" s="34">
        <f t="shared" si="3"/>
        <v>2033</v>
      </c>
      <c r="C33" s="49">
        <f t="shared" si="0"/>
        <v>133.9639092589494</v>
      </c>
      <c r="D33" s="49">
        <f t="shared" si="1"/>
        <v>187.08839505524958</v>
      </c>
      <c r="E33" s="49">
        <f t="shared" si="2"/>
        <v>321.052304314199</v>
      </c>
    </row>
    <row r="34" spans="1:5" ht="12.75">
      <c r="A34">
        <v>17</v>
      </c>
      <c r="B34" s="34">
        <f t="shared" si="3"/>
        <v>2034</v>
      </c>
      <c r="C34" s="49">
        <f t="shared" si="0"/>
        <v>142.00174381448633</v>
      </c>
      <c r="D34" s="49">
        <f t="shared" si="1"/>
        <v>179.05056049971265</v>
      </c>
      <c r="E34" s="49">
        <f t="shared" si="2"/>
        <v>321.052304314199</v>
      </c>
    </row>
    <row r="35" spans="1:5" ht="12.75">
      <c r="A35">
        <v>18</v>
      </c>
      <c r="B35" s="34">
        <f t="shared" si="3"/>
        <v>2035</v>
      </c>
      <c r="C35" s="49">
        <f t="shared" si="0"/>
        <v>150.52184844335548</v>
      </c>
      <c r="D35" s="49">
        <f t="shared" si="1"/>
        <v>170.5304558708435</v>
      </c>
      <c r="E35" s="49">
        <f t="shared" si="2"/>
        <v>321.052304314199</v>
      </c>
    </row>
    <row r="36" spans="1:5" ht="12.75">
      <c r="A36">
        <v>19</v>
      </c>
      <c r="B36" s="34">
        <f t="shared" si="3"/>
        <v>2036</v>
      </c>
      <c r="C36" s="49">
        <f t="shared" si="0"/>
        <v>159.5531593499569</v>
      </c>
      <c r="D36" s="49">
        <f t="shared" si="1"/>
        <v>161.49914496424208</v>
      </c>
      <c r="E36" s="49">
        <f t="shared" si="2"/>
        <v>321.052304314199</v>
      </c>
    </row>
    <row r="37" spans="1:5" ht="12.75">
      <c r="A37">
        <v>20</v>
      </c>
      <c r="B37" s="34">
        <f t="shared" si="3"/>
        <v>2037</v>
      </c>
      <c r="C37" s="49">
        <f t="shared" si="0"/>
        <v>169.12634891095428</v>
      </c>
      <c r="D37" s="49">
        <f t="shared" si="1"/>
        <v>151.9259554032447</v>
      </c>
      <c r="E37" s="49">
        <f t="shared" si="2"/>
        <v>321.052304314199</v>
      </c>
    </row>
    <row r="38" spans="1:5" ht="12.75">
      <c r="A38">
        <v>21</v>
      </c>
      <c r="B38" s="34">
        <f t="shared" si="3"/>
        <v>2038</v>
      </c>
      <c r="C38" s="49">
        <f t="shared" si="0"/>
        <v>179.2739298456116</v>
      </c>
      <c r="D38" s="49">
        <f t="shared" si="1"/>
        <v>141.77837446858737</v>
      </c>
      <c r="E38" s="49">
        <f t="shared" si="2"/>
        <v>321.052304314199</v>
      </c>
    </row>
    <row r="39" spans="1:5" ht="12.75">
      <c r="A39">
        <v>22</v>
      </c>
      <c r="B39" s="34">
        <f t="shared" si="3"/>
        <v>2039</v>
      </c>
      <c r="C39" s="49">
        <f t="shared" si="0"/>
        <v>190.03036563634836</v>
      </c>
      <c r="D39" s="49">
        <f t="shared" si="1"/>
        <v>131.0219386778506</v>
      </c>
      <c r="E39" s="49">
        <f t="shared" si="2"/>
        <v>321.052304314199</v>
      </c>
    </row>
    <row r="40" spans="1:5" ht="12.75">
      <c r="A40">
        <v>23</v>
      </c>
      <c r="B40" s="34">
        <f t="shared" si="3"/>
        <v>2040</v>
      </c>
      <c r="C40" s="49">
        <f t="shared" si="0"/>
        <v>201.43218757452917</v>
      </c>
      <c r="D40" s="49">
        <f t="shared" si="1"/>
        <v>119.62011673966983</v>
      </c>
      <c r="E40" s="49">
        <f t="shared" si="2"/>
        <v>321.052304314199</v>
      </c>
    </row>
    <row r="41" spans="1:5" ht="12.75">
      <c r="A41">
        <v>24</v>
      </c>
      <c r="B41" s="34">
        <f t="shared" si="3"/>
        <v>2041</v>
      </c>
      <c r="C41" s="49">
        <f t="shared" si="0"/>
        <v>213.51811882900097</v>
      </c>
      <c r="D41" s="49">
        <f t="shared" si="1"/>
        <v>107.53418548519802</v>
      </c>
      <c r="E41" s="49">
        <f t="shared" si="2"/>
        <v>321.052304314199</v>
      </c>
    </row>
    <row r="42" spans="1:5" ht="12.75">
      <c r="A42">
        <v>25</v>
      </c>
      <c r="B42" s="34">
        <f t="shared" si="3"/>
        <v>2042</v>
      </c>
      <c r="C42" s="49">
        <f t="shared" si="0"/>
        <v>226.32920595874089</v>
      </c>
      <c r="D42" s="49">
        <f t="shared" si="1"/>
        <v>94.72309835545809</v>
      </c>
      <c r="E42" s="49">
        <f t="shared" si="2"/>
        <v>321.052304314199</v>
      </c>
    </row>
    <row r="43" spans="1:5" ht="12.75">
      <c r="A43">
        <v>26</v>
      </c>
      <c r="B43" s="34">
        <f t="shared" si="3"/>
        <v>2043</v>
      </c>
      <c r="C43" s="49">
        <f t="shared" si="0"/>
        <v>239.9089583162654</v>
      </c>
      <c r="D43" s="49">
        <f t="shared" si="1"/>
        <v>81.14334599793357</v>
      </c>
      <c r="E43" s="49">
        <f t="shared" si="2"/>
        <v>321.052304314199</v>
      </c>
    </row>
    <row r="44" spans="1:5" ht="12.75">
      <c r="A44">
        <v>27</v>
      </c>
      <c r="B44" s="34">
        <f t="shared" si="3"/>
        <v>2044</v>
      </c>
      <c r="C44" s="49">
        <f t="shared" si="0"/>
        <v>254.30349581524126</v>
      </c>
      <c r="D44" s="49">
        <f t="shared" si="1"/>
        <v>66.74880849895773</v>
      </c>
      <c r="E44" s="49">
        <f t="shared" si="2"/>
        <v>321.052304314199</v>
      </c>
    </row>
    <row r="45" spans="1:5" ht="12.75">
      <c r="A45">
        <v>28</v>
      </c>
      <c r="B45" s="34">
        <f t="shared" si="3"/>
        <v>2045</v>
      </c>
      <c r="C45" s="49">
        <f t="shared" si="0"/>
        <v>269.5617055641558</v>
      </c>
      <c r="D45" s="49">
        <f t="shared" si="1"/>
        <v>51.490598750043205</v>
      </c>
      <c r="E45" s="49">
        <f t="shared" si="2"/>
        <v>321.052304314199</v>
      </c>
    </row>
    <row r="46" spans="1:5" ht="12.75">
      <c r="A46">
        <v>29</v>
      </c>
      <c r="B46" s="34">
        <f t="shared" si="3"/>
        <v>2046</v>
      </c>
      <c r="C46" s="49">
        <f t="shared" si="0"/>
        <v>285.73540789800535</v>
      </c>
      <c r="D46" s="49">
        <f t="shared" si="1"/>
        <v>35.31689641619363</v>
      </c>
      <c r="E46" s="49">
        <f t="shared" si="2"/>
        <v>321.052304314199</v>
      </c>
    </row>
    <row r="47" spans="1:5" ht="12.75">
      <c r="A47">
        <v>30</v>
      </c>
      <c r="B47" s="34">
        <f t="shared" si="3"/>
        <v>2047</v>
      </c>
      <c r="C47" s="49">
        <f t="shared" si="0"/>
        <v>302.8795323718855</v>
      </c>
      <c r="D47" s="49">
        <f t="shared" si="1"/>
        <v>18.172771942313485</v>
      </c>
      <c r="E47" s="49">
        <f t="shared" si="2"/>
        <v>321.052304314199</v>
      </c>
    </row>
    <row r="48" spans="2:5" ht="13.5" thickBot="1">
      <c r="B48" s="34"/>
      <c r="C48" s="50"/>
      <c r="D48" s="50"/>
      <c r="E48" s="50"/>
    </row>
    <row r="49" spans="3:5" ht="13.5" thickBot="1">
      <c r="C49" s="51">
        <f>SUM(C18:C48)</f>
        <v>4419.230759681543</v>
      </c>
      <c r="D49" s="52">
        <f>SUM(D18:D48)</f>
        <v>5212.338369744429</v>
      </c>
      <c r="E49" s="51">
        <f>SUM(E18:E48)</f>
        <v>9631.56912942597</v>
      </c>
    </row>
    <row r="51" spans="1:5" ht="12.75">
      <c r="A51" t="s">
        <v>71</v>
      </c>
      <c r="D51" s="93">
        <f>NPV(0.06,D18:D37)</f>
        <v>2627.756736894285</v>
      </c>
      <c r="E51" s="1"/>
    </row>
    <row r="52" ht="13.5" thickBot="1"/>
    <row r="53" spans="2:4" ht="13.5" thickBot="1">
      <c r="B53" t="s">
        <v>86</v>
      </c>
      <c r="D53" s="121">
        <f>+D49+(C49-D7)</f>
        <v>5277.723129425973</v>
      </c>
    </row>
    <row r="54" spans="8:13" ht="12.75">
      <c r="H54" s="14"/>
      <c r="I54" s="14"/>
      <c r="J54" s="14"/>
      <c r="K54" s="14"/>
      <c r="L54" s="14"/>
      <c r="M54" s="14"/>
    </row>
    <row r="55" spans="1:5" ht="12.75">
      <c r="A55" s="1" t="s">
        <v>138</v>
      </c>
      <c r="B55" s="1"/>
      <c r="C55" s="155">
        <f>SUM(C18:C35)</f>
        <v>1727.578343610847</v>
      </c>
      <c r="D55" s="155">
        <f>SUM(D18:D35)</f>
        <v>4051.363134044735</v>
      </c>
      <c r="E55" s="155">
        <f>SUM(E18:E34)</f>
        <v>5457.889173341383</v>
      </c>
    </row>
    <row r="58" spans="1:7" ht="12.75">
      <c r="A58" s="13"/>
      <c r="F58" s="7"/>
      <c r="G58" s="7"/>
    </row>
    <row r="62" ht="12.75">
      <c r="B62" s="34"/>
    </row>
    <row r="63" ht="12.75">
      <c r="B63" s="34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ht="12.75">
      <c r="B68" s="34"/>
    </row>
    <row r="69" ht="12.75">
      <c r="B69" s="34"/>
    </row>
    <row r="70" ht="12.75">
      <c r="B70" s="34"/>
    </row>
    <row r="71" ht="12.75">
      <c r="B71" s="34"/>
    </row>
    <row r="72" ht="12.75">
      <c r="B72" s="34"/>
    </row>
    <row r="73" ht="12.75">
      <c r="B73" s="34"/>
    </row>
    <row r="74" ht="12.75">
      <c r="B74" s="34"/>
    </row>
    <row r="75" ht="12.75">
      <c r="B75" s="34"/>
    </row>
    <row r="76" ht="12.75">
      <c r="B76" s="34"/>
    </row>
    <row r="77" ht="12.75">
      <c r="B77" s="34"/>
    </row>
    <row r="78" ht="12.75">
      <c r="B78" s="34"/>
    </row>
  </sheetData>
  <printOptions horizontalCentered="1"/>
  <pageMargins left="0.27" right="0.19" top="0.57" bottom="1" header="0.5" footer="0.5"/>
  <pageSetup fitToHeight="1" fitToWidth="1" horizontalDpi="600" verticalDpi="600" orientation="portrait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6" max="6" width="45.421875" style="0" customWidth="1"/>
    <col min="7" max="7" width="1.7109375" style="0" customWidth="1"/>
    <col min="8" max="8" width="9.7109375" style="0" bestFit="1" customWidth="1"/>
  </cols>
  <sheetData>
    <row r="1" ht="19.5">
      <c r="B1" s="79" t="s">
        <v>68</v>
      </c>
    </row>
    <row r="2" ht="15">
      <c r="B2" s="80" t="s">
        <v>57</v>
      </c>
    </row>
    <row r="3" spans="2:6" ht="14.25">
      <c r="B3" s="81"/>
      <c r="C3" s="82" t="s">
        <v>58</v>
      </c>
      <c r="D3" s="82" t="s">
        <v>59</v>
      </c>
      <c r="E3" s="82" t="s">
        <v>60</v>
      </c>
      <c r="F3" s="83" t="s">
        <v>61</v>
      </c>
    </row>
    <row r="4" spans="2:6" ht="14.25">
      <c r="B4" s="81"/>
      <c r="C4" s="82" t="s">
        <v>62</v>
      </c>
      <c r="D4" s="82" t="s">
        <v>63</v>
      </c>
      <c r="E4" s="82" t="s">
        <v>46</v>
      </c>
      <c r="F4" s="84"/>
    </row>
    <row r="5" spans="1:6" ht="25.5">
      <c r="A5">
        <v>1</v>
      </c>
      <c r="B5" s="85">
        <v>2005</v>
      </c>
      <c r="C5" s="86">
        <v>30</v>
      </c>
      <c r="D5" s="86"/>
      <c r="E5" s="86">
        <v>30</v>
      </c>
      <c r="F5" s="87" t="s">
        <v>64</v>
      </c>
    </row>
    <row r="6" spans="1:6" ht="25.5">
      <c r="A6">
        <v>2</v>
      </c>
      <c r="B6" s="85">
        <v>2006</v>
      </c>
      <c r="C6" s="86">
        <v>36</v>
      </c>
      <c r="D6" s="86"/>
      <c r="E6" s="86">
        <v>36</v>
      </c>
      <c r="F6" s="87" t="s">
        <v>65</v>
      </c>
    </row>
    <row r="7" spans="1:6" ht="12.75">
      <c r="A7">
        <v>3</v>
      </c>
      <c r="B7" s="85">
        <v>2007</v>
      </c>
      <c r="C7" s="86">
        <v>76.7</v>
      </c>
      <c r="D7" s="86">
        <v>30</v>
      </c>
      <c r="E7" s="86">
        <v>106.7</v>
      </c>
      <c r="F7" s="87" t="s">
        <v>66</v>
      </c>
    </row>
    <row r="8" spans="1:6" ht="13.5">
      <c r="A8">
        <v>4</v>
      </c>
      <c r="B8" s="88">
        <v>2008</v>
      </c>
      <c r="C8" s="89">
        <v>129.5</v>
      </c>
      <c r="D8" s="89">
        <v>36</v>
      </c>
      <c r="E8" s="89">
        <v>165.5</v>
      </c>
      <c r="F8" s="87"/>
    </row>
    <row r="9" spans="1:6" ht="13.5">
      <c r="A9">
        <v>5</v>
      </c>
      <c r="B9" s="88">
        <v>2009</v>
      </c>
      <c r="C9" s="89">
        <v>166.9</v>
      </c>
      <c r="D9" s="89">
        <v>97.2</v>
      </c>
      <c r="E9" s="89">
        <v>264.1</v>
      </c>
      <c r="F9" s="87"/>
    </row>
    <row r="10" spans="1:6" ht="13.5">
      <c r="A10">
        <v>6</v>
      </c>
      <c r="B10" s="88">
        <v>2010</v>
      </c>
      <c r="C10" s="89">
        <v>168.8</v>
      </c>
      <c r="D10" s="89">
        <v>207</v>
      </c>
      <c r="E10" s="89">
        <v>375.8</v>
      </c>
      <c r="F10" s="87"/>
    </row>
    <row r="11" spans="1:6" ht="13.5">
      <c r="A11">
        <v>7</v>
      </c>
      <c r="B11" s="88">
        <v>2011</v>
      </c>
      <c r="C11" s="89">
        <v>194.3</v>
      </c>
      <c r="D11" s="89">
        <v>349.7</v>
      </c>
      <c r="E11" s="89">
        <v>544</v>
      </c>
      <c r="F11" s="87"/>
    </row>
    <row r="12" spans="1:6" ht="13.5">
      <c r="A12">
        <v>8</v>
      </c>
      <c r="B12" s="88">
        <v>2012</v>
      </c>
      <c r="C12" s="89">
        <v>192.9</v>
      </c>
      <c r="D12" s="89">
        <v>450.6</v>
      </c>
      <c r="E12" s="89">
        <v>643.4</v>
      </c>
      <c r="F12" s="87"/>
    </row>
    <row r="13" spans="1:6" ht="13.5">
      <c r="A13">
        <v>9</v>
      </c>
      <c r="B13" s="88">
        <v>2013</v>
      </c>
      <c r="C13" s="89">
        <v>193.9</v>
      </c>
      <c r="D13" s="89">
        <v>455.7</v>
      </c>
      <c r="E13" s="89">
        <v>649.6</v>
      </c>
      <c r="F13" s="87"/>
    </row>
    <row r="14" spans="1:6" ht="13.5">
      <c r="A14">
        <v>10</v>
      </c>
      <c r="B14" s="88">
        <v>2014</v>
      </c>
      <c r="C14" s="89">
        <v>190.6</v>
      </c>
      <c r="D14" s="89">
        <v>524.5</v>
      </c>
      <c r="E14" s="89">
        <v>715.1</v>
      </c>
      <c r="F14" s="87"/>
    </row>
    <row r="15" spans="1:6" ht="13.5">
      <c r="A15">
        <v>11</v>
      </c>
      <c r="B15" s="88">
        <v>2015</v>
      </c>
      <c r="C15" s="89">
        <v>186.9</v>
      </c>
      <c r="D15" s="89">
        <v>520.7</v>
      </c>
      <c r="E15" s="89">
        <v>707.6</v>
      </c>
      <c r="F15" s="87"/>
    </row>
    <row r="16" spans="1:6" ht="13.5">
      <c r="A16">
        <v>12</v>
      </c>
      <c r="B16" s="88">
        <v>2016</v>
      </c>
      <c r="C16" s="89">
        <v>188.2</v>
      </c>
      <c r="D16" s="89">
        <v>523.5</v>
      </c>
      <c r="E16" s="89">
        <v>711.7</v>
      </c>
      <c r="F16" s="87" t="s">
        <v>67</v>
      </c>
    </row>
    <row r="17" spans="1:6" ht="13.5">
      <c r="A17">
        <v>13</v>
      </c>
      <c r="B17" s="88">
        <v>2017</v>
      </c>
      <c r="C17" s="89">
        <v>194.9</v>
      </c>
      <c r="D17" s="89">
        <v>514.7</v>
      </c>
      <c r="E17" s="89">
        <v>709.5</v>
      </c>
      <c r="F17" s="87"/>
    </row>
    <row r="18" spans="1:6" ht="13.5">
      <c r="A18">
        <v>14</v>
      </c>
      <c r="B18" s="88">
        <v>2018</v>
      </c>
      <c r="C18" s="89">
        <v>181.4</v>
      </c>
      <c r="D18" s="89">
        <v>504.6</v>
      </c>
      <c r="E18" s="89">
        <v>685.9</v>
      </c>
      <c r="F18" s="87"/>
    </row>
    <row r="19" spans="1:6" ht="13.5">
      <c r="A19">
        <v>15</v>
      </c>
      <c r="B19" s="88">
        <v>2019</v>
      </c>
      <c r="C19" s="89">
        <v>183.6</v>
      </c>
      <c r="D19" s="89">
        <v>508</v>
      </c>
      <c r="E19" s="89">
        <v>691.6</v>
      </c>
      <c r="F19" s="87"/>
    </row>
    <row r="20" spans="1:6" ht="13.5">
      <c r="A20">
        <v>16</v>
      </c>
      <c r="B20" s="88">
        <v>2020</v>
      </c>
      <c r="C20" s="89">
        <v>177.1</v>
      </c>
      <c r="D20" s="89">
        <v>526.1</v>
      </c>
      <c r="E20" s="89">
        <v>703.2</v>
      </c>
      <c r="F20" s="87"/>
    </row>
    <row r="21" spans="1:6" ht="13.5">
      <c r="A21">
        <v>17</v>
      </c>
      <c r="B21" s="88">
        <v>2021</v>
      </c>
      <c r="C21" s="89">
        <v>177.9</v>
      </c>
      <c r="D21" s="89">
        <v>489.7</v>
      </c>
      <c r="E21" s="89">
        <v>667.6</v>
      </c>
      <c r="F21" s="87"/>
    </row>
    <row r="22" spans="1:6" ht="13.5">
      <c r="A22">
        <v>18</v>
      </c>
      <c r="B22" s="88">
        <v>2022</v>
      </c>
      <c r="C22" s="89">
        <v>172.5</v>
      </c>
      <c r="D22" s="89">
        <v>495.7</v>
      </c>
      <c r="E22" s="89">
        <v>668.1</v>
      </c>
      <c r="F22" s="87"/>
    </row>
    <row r="23" spans="1:6" ht="13.5">
      <c r="A23">
        <v>19</v>
      </c>
      <c r="B23" s="88">
        <v>2023</v>
      </c>
      <c r="C23" s="89">
        <v>183.3</v>
      </c>
      <c r="D23" s="89">
        <v>478.2</v>
      </c>
      <c r="E23" s="89">
        <v>661.6</v>
      </c>
      <c r="F23" s="87"/>
    </row>
    <row r="24" spans="1:6" ht="13.5">
      <c r="A24">
        <v>20</v>
      </c>
      <c r="B24" s="88">
        <v>2024</v>
      </c>
      <c r="C24" s="89">
        <v>174.1</v>
      </c>
      <c r="D24" s="89">
        <v>480.3</v>
      </c>
      <c r="E24" s="89">
        <v>654.5</v>
      </c>
      <c r="F24" s="87"/>
    </row>
    <row r="25" spans="1:6" ht="13.5">
      <c r="A25">
        <v>21</v>
      </c>
      <c r="B25" s="88">
        <v>2025</v>
      </c>
      <c r="C25" s="89">
        <v>168.8</v>
      </c>
      <c r="D25" s="89">
        <v>465.6</v>
      </c>
      <c r="E25" s="89">
        <v>634.5</v>
      </c>
      <c r="F25" s="87"/>
    </row>
    <row r="26" spans="1:6" ht="13.5">
      <c r="A26">
        <v>22</v>
      </c>
      <c r="B26" s="88">
        <v>2026</v>
      </c>
      <c r="C26" s="89">
        <v>171.9</v>
      </c>
      <c r="D26" s="89">
        <v>495</v>
      </c>
      <c r="E26" s="89">
        <v>667</v>
      </c>
      <c r="F26" s="87"/>
    </row>
    <row r="27" spans="1:6" ht="13.5">
      <c r="A27">
        <v>23</v>
      </c>
      <c r="B27" s="88">
        <v>2027</v>
      </c>
      <c r="C27" s="89">
        <v>156.6</v>
      </c>
      <c r="D27" s="89">
        <v>470.2</v>
      </c>
      <c r="E27" s="89">
        <v>626.8</v>
      </c>
      <c r="F27" s="87"/>
    </row>
    <row r="28" spans="1:6" ht="13.5">
      <c r="A28">
        <v>24</v>
      </c>
      <c r="B28" s="88">
        <v>2028</v>
      </c>
      <c r="C28" s="89">
        <v>155.7</v>
      </c>
      <c r="D28" s="89">
        <v>455.8</v>
      </c>
      <c r="E28" s="89">
        <v>611.5</v>
      </c>
      <c r="F28" s="87"/>
    </row>
    <row r="29" spans="1:6" ht="13.5">
      <c r="A29">
        <v>25</v>
      </c>
      <c r="B29" s="88">
        <v>2029</v>
      </c>
      <c r="C29" s="89">
        <v>106</v>
      </c>
      <c r="D29" s="89">
        <v>464.2</v>
      </c>
      <c r="E29" s="89">
        <v>570.2</v>
      </c>
      <c r="F29" s="87"/>
    </row>
    <row r="30" spans="1:6" ht="13.5">
      <c r="A30">
        <v>26</v>
      </c>
      <c r="B30" s="88">
        <v>2030</v>
      </c>
      <c r="C30" s="89">
        <v>125.9</v>
      </c>
      <c r="D30" s="89">
        <v>422.9</v>
      </c>
      <c r="E30" s="89">
        <v>548.8</v>
      </c>
      <c r="F30" s="87"/>
    </row>
    <row r="31" spans="1:6" ht="13.5">
      <c r="A31">
        <v>27</v>
      </c>
      <c r="B31" s="88">
        <v>2031</v>
      </c>
      <c r="C31" s="89">
        <v>118.3</v>
      </c>
      <c r="D31" s="89">
        <v>420.3</v>
      </c>
      <c r="E31" s="89">
        <v>538.6</v>
      </c>
      <c r="F31" s="87"/>
    </row>
    <row r="32" spans="1:6" ht="13.5">
      <c r="A32">
        <v>28</v>
      </c>
      <c r="B32" s="88">
        <v>2032</v>
      </c>
      <c r="C32" s="89">
        <v>135.1</v>
      </c>
      <c r="D32" s="89">
        <v>286.3</v>
      </c>
      <c r="E32" s="89">
        <v>421.3</v>
      </c>
      <c r="F32" s="87"/>
    </row>
    <row r="33" spans="1:6" ht="13.5">
      <c r="A33">
        <v>29</v>
      </c>
      <c r="B33" s="88">
        <v>2033</v>
      </c>
      <c r="C33" s="89">
        <v>110.7</v>
      </c>
      <c r="D33" s="89">
        <v>339.9</v>
      </c>
      <c r="E33" s="89">
        <v>450.6</v>
      </c>
      <c r="F33" s="87"/>
    </row>
    <row r="34" spans="1:6" ht="13.5">
      <c r="A34">
        <v>30</v>
      </c>
      <c r="B34" s="88">
        <v>2034</v>
      </c>
      <c r="C34" s="89">
        <v>104.2</v>
      </c>
      <c r="D34" s="89">
        <v>319.5</v>
      </c>
      <c r="E34" s="89">
        <v>423.7</v>
      </c>
      <c r="F34" s="87"/>
    </row>
    <row r="35" spans="1:6" ht="13.5">
      <c r="A35">
        <v>31</v>
      </c>
      <c r="B35" s="88">
        <v>2035</v>
      </c>
      <c r="C35" s="89">
        <v>95.5</v>
      </c>
      <c r="D35" s="89">
        <v>364.7</v>
      </c>
      <c r="E35" s="89">
        <v>460.2</v>
      </c>
      <c r="F35" s="87"/>
    </row>
    <row r="36" spans="1:6" ht="13.5">
      <c r="A36">
        <v>32</v>
      </c>
      <c r="B36" s="88">
        <v>2036</v>
      </c>
      <c r="C36" s="89">
        <v>63</v>
      </c>
      <c r="D36" s="89">
        <v>298.8</v>
      </c>
      <c r="E36" s="89">
        <v>361.8</v>
      </c>
      <c r="F36" s="87"/>
    </row>
    <row r="37" spans="1:6" ht="13.5">
      <c r="A37">
        <v>33</v>
      </c>
      <c r="B37" s="88">
        <v>2037</v>
      </c>
      <c r="C37" s="89">
        <v>2.6</v>
      </c>
      <c r="D37" s="89">
        <v>281.5</v>
      </c>
      <c r="E37" s="89">
        <v>284</v>
      </c>
      <c r="F37" s="87" t="s">
        <v>69</v>
      </c>
    </row>
    <row r="38" spans="1:6" ht="13.5">
      <c r="A38">
        <v>34</v>
      </c>
      <c r="B38" s="88">
        <v>2038</v>
      </c>
      <c r="C38" s="88"/>
      <c r="D38" s="89">
        <v>258</v>
      </c>
      <c r="E38" s="89">
        <v>258</v>
      </c>
      <c r="F38" s="87"/>
    </row>
    <row r="39" spans="1:6" ht="13.5">
      <c r="A39">
        <v>35</v>
      </c>
      <c r="B39" s="88">
        <v>2039</v>
      </c>
      <c r="C39" s="88"/>
      <c r="D39" s="89">
        <v>170.1</v>
      </c>
      <c r="E39" s="89">
        <v>170.1</v>
      </c>
      <c r="F39" s="87" t="s">
        <v>70</v>
      </c>
    </row>
    <row r="40" spans="2:6" ht="13.5">
      <c r="B40" s="88"/>
      <c r="C40" s="88"/>
      <c r="D40" s="88"/>
      <c r="E40" s="88"/>
      <c r="F40" s="87"/>
    </row>
    <row r="41" spans="2:6" ht="14.25">
      <c r="B41" s="81" t="s">
        <v>46</v>
      </c>
      <c r="C41" s="90">
        <v>4713.7</v>
      </c>
      <c r="D41" s="90">
        <v>12705</v>
      </c>
      <c r="E41" s="90">
        <v>17418.6</v>
      </c>
      <c r="F41" s="87"/>
    </row>
    <row r="42" spans="2:4" ht="19.5">
      <c r="B42" s="91"/>
      <c r="C42" s="93"/>
      <c r="D42" s="93"/>
    </row>
    <row r="43" ht="19.5">
      <c r="B43" s="91"/>
    </row>
    <row r="44" ht="15.75">
      <c r="B44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:G1"/>
    </sheetView>
  </sheetViews>
  <sheetFormatPr defaultColWidth="9.140625" defaultRowHeight="12.75"/>
  <cols>
    <col min="2" max="2" width="12.7109375" style="0" customWidth="1"/>
    <col min="3" max="3" width="9.28125" style="0" bestFit="1" customWidth="1"/>
    <col min="6" max="6" width="11.421875" style="0" customWidth="1"/>
    <col min="7" max="7" width="10.421875" style="0" customWidth="1"/>
    <col min="9" max="9" width="15.28125" style="0" customWidth="1"/>
    <col min="10" max="10" width="14.57421875" style="0" customWidth="1"/>
  </cols>
  <sheetData>
    <row r="1" spans="1:7" ht="18">
      <c r="A1" s="174" t="s">
        <v>7</v>
      </c>
      <c r="B1" s="174"/>
      <c r="C1" s="174"/>
      <c r="D1" s="174"/>
      <c r="E1" s="174"/>
      <c r="F1" s="174"/>
      <c r="G1" s="174"/>
    </row>
    <row r="2" spans="1:10" ht="51">
      <c r="A2" s="2" t="s">
        <v>0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I2" s="2" t="s">
        <v>14</v>
      </c>
      <c r="J2" s="2" t="s">
        <v>15</v>
      </c>
    </row>
    <row r="3" spans="1:10" ht="12.75">
      <c r="A3">
        <v>2004</v>
      </c>
      <c r="B3" s="3">
        <v>75</v>
      </c>
      <c r="C3" s="3">
        <v>75</v>
      </c>
      <c r="D3" s="3"/>
      <c r="E3" s="3">
        <f>B3-C3-D3</f>
        <v>0</v>
      </c>
      <c r="F3" s="3">
        <f>C3+D3</f>
        <v>75</v>
      </c>
      <c r="G3" s="3">
        <f>SUM(F$3:F3)</f>
        <v>75</v>
      </c>
      <c r="I3" s="3">
        <f aca="true" t="shared" si="0" ref="I3:I8">-F3</f>
        <v>-75</v>
      </c>
      <c r="J3" s="3">
        <f aca="true" t="shared" si="1" ref="J3:J8">-B3</f>
        <v>-75</v>
      </c>
    </row>
    <row r="4" spans="1:10" ht="12.75">
      <c r="A4">
        <v>2005</v>
      </c>
      <c r="B4" s="3">
        <v>75</v>
      </c>
      <c r="C4" s="3">
        <v>75</v>
      </c>
      <c r="D4" s="3"/>
      <c r="E4" s="3">
        <f aca="true" t="shared" si="2" ref="E4:E38">B4-C4-D4</f>
        <v>0</v>
      </c>
      <c r="F4" s="3">
        <f aca="true" t="shared" si="3" ref="F4:F38">C4+D4</f>
        <v>75</v>
      </c>
      <c r="G4" s="3">
        <f>SUM(F$3:F4)</f>
        <v>150</v>
      </c>
      <c r="I4" s="3">
        <f t="shared" si="0"/>
        <v>-75</v>
      </c>
      <c r="J4" s="3">
        <f t="shared" si="1"/>
        <v>-75</v>
      </c>
    </row>
    <row r="5" spans="1:10" ht="12.75">
      <c r="A5">
        <v>2006</v>
      </c>
      <c r="B5" s="3">
        <v>75</v>
      </c>
      <c r="C5" s="3">
        <v>75</v>
      </c>
      <c r="D5" s="3"/>
      <c r="E5" s="3">
        <f t="shared" si="2"/>
        <v>0</v>
      </c>
      <c r="F5" s="3">
        <f t="shared" si="3"/>
        <v>75</v>
      </c>
      <c r="G5" s="3">
        <f>SUM(F$3:F5)</f>
        <v>225</v>
      </c>
      <c r="I5" s="3">
        <f t="shared" si="0"/>
        <v>-75</v>
      </c>
      <c r="J5" s="3">
        <f t="shared" si="1"/>
        <v>-75</v>
      </c>
    </row>
    <row r="6" spans="1:10" ht="12.75">
      <c r="A6">
        <v>2007</v>
      </c>
      <c r="B6" s="3">
        <v>75</v>
      </c>
      <c r="C6" s="3">
        <v>75</v>
      </c>
      <c r="D6" s="3"/>
      <c r="E6" s="3">
        <f t="shared" si="2"/>
        <v>0</v>
      </c>
      <c r="F6" s="3">
        <f t="shared" si="3"/>
        <v>75</v>
      </c>
      <c r="G6" s="3">
        <f>SUM(F$3:F6)</f>
        <v>300</v>
      </c>
      <c r="I6" s="3">
        <f t="shared" si="0"/>
        <v>-75</v>
      </c>
      <c r="J6" s="3">
        <f t="shared" si="1"/>
        <v>-75</v>
      </c>
    </row>
    <row r="7" spans="1:10" ht="12.75">
      <c r="A7">
        <v>2008</v>
      </c>
      <c r="B7" s="3">
        <v>75</v>
      </c>
      <c r="C7" s="3">
        <v>75</v>
      </c>
      <c r="D7" s="3"/>
      <c r="E7" s="3">
        <f t="shared" si="2"/>
        <v>0</v>
      </c>
      <c r="F7" s="3">
        <f t="shared" si="3"/>
        <v>75</v>
      </c>
      <c r="G7" s="3">
        <f>SUM(F$3:F7)</f>
        <v>375</v>
      </c>
      <c r="I7" s="3">
        <f t="shared" si="0"/>
        <v>-75</v>
      </c>
      <c r="J7" s="3">
        <f t="shared" si="1"/>
        <v>-75</v>
      </c>
    </row>
    <row r="8" spans="1:10" ht="12.75">
      <c r="A8">
        <v>2009</v>
      </c>
      <c r="B8" s="3">
        <v>75</v>
      </c>
      <c r="C8" s="3">
        <v>47.97</v>
      </c>
      <c r="D8" s="3"/>
      <c r="E8" s="3">
        <f t="shared" si="2"/>
        <v>27.03</v>
      </c>
      <c r="F8" s="3">
        <f t="shared" si="3"/>
        <v>47.97</v>
      </c>
      <c r="G8" s="3">
        <f>SUM(F$3:F8)</f>
        <v>422.97</v>
      </c>
      <c r="I8" s="3">
        <f t="shared" si="0"/>
        <v>-47.97</v>
      </c>
      <c r="J8" s="3">
        <f t="shared" si="1"/>
        <v>-75</v>
      </c>
    </row>
    <row r="9" spans="1:10" ht="12.75">
      <c r="A9">
        <v>2010</v>
      </c>
      <c r="B9" s="3">
        <v>75</v>
      </c>
      <c r="C9" s="3">
        <v>47.97</v>
      </c>
      <c r="D9" s="3">
        <v>12.31</v>
      </c>
      <c r="E9" s="3">
        <f t="shared" si="2"/>
        <v>14.72</v>
      </c>
      <c r="F9" s="3">
        <f t="shared" si="3"/>
        <v>60.28</v>
      </c>
      <c r="G9" s="3">
        <f>SUM(F$3:F9)</f>
        <v>483.25</v>
      </c>
      <c r="I9" s="3">
        <f>'Op Cash Flow Ph 1'!F4-'Approp Cash Flow Ph 1'!F9</f>
        <v>-29.31</v>
      </c>
      <c r="J9" s="3">
        <f>'Op Cash Flow Ph 1'!F4-'Approp Cash Flow Ph 1'!B9</f>
        <v>-44.03</v>
      </c>
    </row>
    <row r="10" spans="1:10" ht="12.75">
      <c r="A10">
        <v>2011</v>
      </c>
      <c r="B10" s="3">
        <v>75</v>
      </c>
      <c r="C10" s="3">
        <v>47.97</v>
      </c>
      <c r="D10" s="3">
        <v>12.66</v>
      </c>
      <c r="E10" s="3">
        <f t="shared" si="2"/>
        <v>14.370000000000001</v>
      </c>
      <c r="F10" s="3">
        <f t="shared" si="3"/>
        <v>60.629999999999995</v>
      </c>
      <c r="G10" s="3">
        <f>SUM(F$3:F10)</f>
        <v>543.88</v>
      </c>
      <c r="I10" s="3">
        <f>'Op Cash Flow Ph 1'!F5-'Approp Cash Flow Ph 1'!F10</f>
        <v>-39.86999999999999</v>
      </c>
      <c r="J10" s="3">
        <f>'Op Cash Flow Ph 1'!F5-'Approp Cash Flow Ph 1'!B10</f>
        <v>-54.239999999999995</v>
      </c>
    </row>
    <row r="11" spans="1:10" ht="12.75">
      <c r="A11">
        <v>2012</v>
      </c>
      <c r="B11" s="3">
        <v>75</v>
      </c>
      <c r="C11" s="3">
        <v>47.97</v>
      </c>
      <c r="D11" s="3">
        <v>13.35</v>
      </c>
      <c r="E11" s="3">
        <f t="shared" si="2"/>
        <v>13.680000000000001</v>
      </c>
      <c r="F11" s="3">
        <f t="shared" si="3"/>
        <v>61.32</v>
      </c>
      <c r="G11" s="3">
        <f>SUM(F$3:F11)</f>
        <v>605.2</v>
      </c>
      <c r="I11" s="3">
        <f>'Op Cash Flow Ph 1'!F6-'Approp Cash Flow Ph 1'!F11</f>
        <v>-37.97999999999999</v>
      </c>
      <c r="J11" s="3">
        <f>'Op Cash Flow Ph 1'!F6-'Approp Cash Flow Ph 1'!B11</f>
        <v>-51.66</v>
      </c>
    </row>
    <row r="12" spans="1:10" ht="12.75">
      <c r="A12">
        <v>2013</v>
      </c>
      <c r="B12" s="3">
        <v>75</v>
      </c>
      <c r="C12" s="3">
        <v>47.97</v>
      </c>
      <c r="D12" s="3">
        <v>16.01</v>
      </c>
      <c r="E12" s="3">
        <f t="shared" si="2"/>
        <v>11.02</v>
      </c>
      <c r="F12" s="3">
        <f t="shared" si="3"/>
        <v>63.980000000000004</v>
      </c>
      <c r="G12" s="3">
        <f>SUM(F$3:F12)</f>
        <v>669.1800000000001</v>
      </c>
      <c r="I12" s="3">
        <f>'Op Cash Flow Ph 1'!F7-'Approp Cash Flow Ph 1'!F12</f>
        <v>-37.870000000000005</v>
      </c>
      <c r="J12" s="3">
        <f>'Op Cash Flow Ph 1'!F7-'Approp Cash Flow Ph 1'!B12</f>
        <v>-48.89</v>
      </c>
    </row>
    <row r="13" spans="1:10" ht="12.75">
      <c r="A13">
        <v>2014</v>
      </c>
      <c r="B13" s="3">
        <v>75</v>
      </c>
      <c r="C13" s="3">
        <v>47.97</v>
      </c>
      <c r="D13" s="3">
        <v>15.02</v>
      </c>
      <c r="E13" s="3">
        <f t="shared" si="2"/>
        <v>12.010000000000002</v>
      </c>
      <c r="F13" s="3">
        <f t="shared" si="3"/>
        <v>62.989999999999995</v>
      </c>
      <c r="G13" s="3">
        <f>SUM(F$3:F13)</f>
        <v>732.1700000000001</v>
      </c>
      <c r="I13" s="3">
        <f>'Op Cash Flow Ph 1'!F8-'Approp Cash Flow Ph 1'!F13</f>
        <v>-33.91999999999999</v>
      </c>
      <c r="J13" s="3">
        <f>'Op Cash Flow Ph 1'!F8-'Approp Cash Flow Ph 1'!B13</f>
        <v>-45.92999999999999</v>
      </c>
    </row>
    <row r="14" spans="1:10" ht="12.75">
      <c r="A14">
        <v>2015</v>
      </c>
      <c r="B14" s="3">
        <v>75</v>
      </c>
      <c r="C14" s="3">
        <v>47.97</v>
      </c>
      <c r="D14" s="3">
        <v>13.6</v>
      </c>
      <c r="E14" s="3">
        <f t="shared" si="2"/>
        <v>13.430000000000001</v>
      </c>
      <c r="F14" s="3">
        <f t="shared" si="3"/>
        <v>61.57</v>
      </c>
      <c r="G14" s="3">
        <f>SUM(F$3:F14)</f>
        <v>793.7400000000001</v>
      </c>
      <c r="I14" s="3">
        <f>'Op Cash Flow Ph 1'!F9-'Approp Cash Flow Ph 1'!F14</f>
        <v>-29.330000000000005</v>
      </c>
      <c r="J14" s="3">
        <f>'Op Cash Flow Ph 1'!F9-'Approp Cash Flow Ph 1'!B14</f>
        <v>-42.760000000000005</v>
      </c>
    </row>
    <row r="15" spans="1:10" ht="12.75">
      <c r="A15">
        <v>2016</v>
      </c>
      <c r="B15" s="3">
        <v>75</v>
      </c>
      <c r="C15" s="3">
        <v>47.97</v>
      </c>
      <c r="D15" s="3">
        <v>16.61</v>
      </c>
      <c r="E15" s="3">
        <f t="shared" si="2"/>
        <v>10.420000000000002</v>
      </c>
      <c r="F15" s="3">
        <f t="shared" si="3"/>
        <v>64.58</v>
      </c>
      <c r="G15" s="3">
        <f>SUM(F$3:F15)</f>
        <v>858.3200000000002</v>
      </c>
      <c r="I15" s="3">
        <f>'Op Cash Flow Ph 1'!F10-'Approp Cash Flow Ph 1'!F15</f>
        <v>-28.96</v>
      </c>
      <c r="J15" s="3">
        <f>'Op Cash Flow Ph 1'!F10-'Approp Cash Flow Ph 1'!B15</f>
        <v>-39.38</v>
      </c>
    </row>
    <row r="16" spans="1:10" ht="12.75">
      <c r="A16">
        <v>2017</v>
      </c>
      <c r="B16" s="3">
        <v>75</v>
      </c>
      <c r="C16" s="3">
        <v>47.97</v>
      </c>
      <c r="D16" s="3">
        <v>25.8</v>
      </c>
      <c r="E16" s="3">
        <f t="shared" si="2"/>
        <v>1.2300000000000004</v>
      </c>
      <c r="F16" s="3">
        <f t="shared" si="3"/>
        <v>73.77</v>
      </c>
      <c r="G16" s="3">
        <f>SUM(F$3:F16)</f>
        <v>932.0900000000001</v>
      </c>
      <c r="I16" s="3">
        <f>'Op Cash Flow Ph 1'!F11-'Approp Cash Flow Ph 1'!F16</f>
        <v>-34.519999999999996</v>
      </c>
      <c r="J16" s="3">
        <f>'Op Cash Flow Ph 1'!F11-'Approp Cash Flow Ph 1'!B16</f>
        <v>-35.75</v>
      </c>
    </row>
    <row r="17" spans="1:10" ht="12.75">
      <c r="A17">
        <v>2018</v>
      </c>
      <c r="B17" s="3">
        <v>75</v>
      </c>
      <c r="C17" s="3">
        <v>47.97</v>
      </c>
      <c r="D17" s="3">
        <v>14.86</v>
      </c>
      <c r="E17" s="3">
        <f t="shared" si="2"/>
        <v>12.170000000000002</v>
      </c>
      <c r="F17" s="3">
        <f t="shared" si="3"/>
        <v>62.83</v>
      </c>
      <c r="G17" s="3">
        <f>SUM(F$3:F17)</f>
        <v>994.9200000000002</v>
      </c>
      <c r="I17" s="3">
        <f>'Op Cash Flow Ph 1'!F12-'Approp Cash Flow Ph 1'!F17</f>
        <v>-18.409999999999997</v>
      </c>
      <c r="J17" s="3">
        <f>'Op Cash Flow Ph 1'!F12-'Approp Cash Flow Ph 1'!B17</f>
        <v>-30.58</v>
      </c>
    </row>
    <row r="18" spans="1:10" ht="12.75">
      <c r="A18">
        <v>2019</v>
      </c>
      <c r="B18" s="3">
        <v>75</v>
      </c>
      <c r="C18" s="3">
        <v>47.97</v>
      </c>
      <c r="D18" s="3">
        <v>19.11</v>
      </c>
      <c r="E18" s="3">
        <f t="shared" si="2"/>
        <v>7.920000000000002</v>
      </c>
      <c r="F18" s="3">
        <f t="shared" si="3"/>
        <v>67.08</v>
      </c>
      <c r="G18" s="3">
        <f>SUM(F$3:F18)</f>
        <v>1062.0000000000002</v>
      </c>
      <c r="I18" s="3">
        <f>'Op Cash Flow Ph 1'!F13-'Approp Cash Flow Ph 1'!F18</f>
        <v>-19.17</v>
      </c>
      <c r="J18" s="3">
        <f>'Op Cash Flow Ph 1'!F13-'Approp Cash Flow Ph 1'!B18</f>
        <v>-27.090000000000003</v>
      </c>
    </row>
    <row r="19" spans="1:10" ht="12.75">
      <c r="A19">
        <v>2020</v>
      </c>
      <c r="B19" s="3">
        <v>75</v>
      </c>
      <c r="C19" s="3">
        <v>47.97</v>
      </c>
      <c r="D19" s="3">
        <v>15.4</v>
      </c>
      <c r="E19" s="3">
        <f t="shared" si="2"/>
        <v>11.63</v>
      </c>
      <c r="F19" s="3">
        <f t="shared" si="3"/>
        <v>63.37</v>
      </c>
      <c r="G19" s="3">
        <f>SUM(F$3:F19)</f>
        <v>1125.3700000000001</v>
      </c>
      <c r="I19" s="3">
        <f>'Op Cash Flow Ph 1'!F14-'Approp Cash Flow Ph 1'!F19</f>
        <v>-12.760000000000005</v>
      </c>
      <c r="J19" s="3">
        <f>'Op Cash Flow Ph 1'!F14-'Approp Cash Flow Ph 1'!B19</f>
        <v>-24.390000000000008</v>
      </c>
    </row>
    <row r="20" spans="1:10" ht="12.75">
      <c r="A20">
        <v>2021</v>
      </c>
      <c r="B20" s="3">
        <v>75</v>
      </c>
      <c r="C20" s="3">
        <v>47.97</v>
      </c>
      <c r="D20" s="3">
        <v>18.94</v>
      </c>
      <c r="E20" s="3">
        <f t="shared" si="2"/>
        <v>8.09</v>
      </c>
      <c r="F20" s="3">
        <f t="shared" si="3"/>
        <v>66.91</v>
      </c>
      <c r="G20" s="3">
        <f>SUM(F$3:F20)</f>
        <v>1192.2800000000002</v>
      </c>
      <c r="I20" s="3">
        <f>'Op Cash Flow Ph 1'!F15-'Approp Cash Flow Ph 1'!F20</f>
        <v>-13.449999999999989</v>
      </c>
      <c r="J20" s="3">
        <f>'Op Cash Flow Ph 1'!F15-'Approp Cash Flow Ph 1'!B20</f>
        <v>-21.539999999999992</v>
      </c>
    </row>
    <row r="21" spans="1:10" ht="12.75">
      <c r="A21">
        <v>2022</v>
      </c>
      <c r="B21" s="3">
        <v>75</v>
      </c>
      <c r="C21" s="3">
        <v>47.97</v>
      </c>
      <c r="D21" s="3">
        <v>15.76</v>
      </c>
      <c r="E21" s="3">
        <f t="shared" si="2"/>
        <v>11.270000000000001</v>
      </c>
      <c r="F21" s="3">
        <f t="shared" si="3"/>
        <v>63.73</v>
      </c>
      <c r="G21" s="3">
        <f>SUM(F$3:F21)</f>
        <v>1256.0100000000002</v>
      </c>
      <c r="I21" s="3">
        <f>'Op Cash Flow Ph 1'!F16-'Approp Cash Flow Ph 1'!F21</f>
        <v>-7.259999999999991</v>
      </c>
      <c r="J21" s="3">
        <f>'Op Cash Flow Ph 1'!F16-'Approp Cash Flow Ph 1'!B21</f>
        <v>-18.529999999999994</v>
      </c>
    </row>
    <row r="22" spans="1:10" ht="12.75">
      <c r="A22">
        <v>2023</v>
      </c>
      <c r="B22" s="3">
        <v>75</v>
      </c>
      <c r="C22" s="3">
        <v>47.97</v>
      </c>
      <c r="D22" s="3">
        <v>27.03</v>
      </c>
      <c r="E22" s="3">
        <f t="shared" si="2"/>
        <v>0</v>
      </c>
      <c r="F22" s="3">
        <f t="shared" si="3"/>
        <v>75</v>
      </c>
      <c r="G22" s="3">
        <f>SUM(F$3:F22)</f>
        <v>1331.0100000000002</v>
      </c>
      <c r="I22" s="3">
        <f>'Op Cash Flow Ph 1'!F17-'Approp Cash Flow Ph 1'!F22</f>
        <v>-16.729999999999997</v>
      </c>
      <c r="J22" s="3">
        <f>'Op Cash Flow Ph 1'!F17-'Approp Cash Flow Ph 1'!B22</f>
        <v>-16.729999999999997</v>
      </c>
    </row>
    <row r="23" spans="1:10" ht="12.75">
      <c r="A23">
        <v>2024</v>
      </c>
      <c r="B23" s="3">
        <v>75</v>
      </c>
      <c r="C23" s="3">
        <v>47.97</v>
      </c>
      <c r="D23" s="3">
        <v>23.6</v>
      </c>
      <c r="E23" s="3">
        <f t="shared" si="2"/>
        <v>3.4299999999999997</v>
      </c>
      <c r="F23" s="3">
        <f t="shared" si="3"/>
        <v>71.57</v>
      </c>
      <c r="G23" s="3">
        <f>SUM(F$3:F23)</f>
        <v>1402.5800000000002</v>
      </c>
      <c r="I23" s="3">
        <f>'Op Cash Flow Ph 1'!F18-'Approp Cash Flow Ph 1'!F23</f>
        <v>-8.590000000000003</v>
      </c>
      <c r="J23" s="3">
        <f>'Op Cash Flow Ph 1'!F18-'Approp Cash Flow Ph 1'!B23</f>
        <v>-12.02000000000001</v>
      </c>
    </row>
    <row r="24" spans="1:10" ht="12.75">
      <c r="A24">
        <v>2025</v>
      </c>
      <c r="B24" s="3">
        <v>75</v>
      </c>
      <c r="C24" s="3">
        <v>47.97</v>
      </c>
      <c r="D24" s="3">
        <v>20.86</v>
      </c>
      <c r="E24" s="3">
        <f t="shared" si="2"/>
        <v>6.170000000000002</v>
      </c>
      <c r="F24" s="3">
        <f t="shared" si="3"/>
        <v>68.83</v>
      </c>
      <c r="G24" s="3">
        <f>SUM(F$3:F24)</f>
        <v>1471.41</v>
      </c>
      <c r="I24" s="3">
        <f>'Op Cash Flow Ph 1'!F19-'Approp Cash Flow Ph 1'!F24</f>
        <v>-1.1799999999999926</v>
      </c>
      <c r="J24" s="3">
        <f>'Op Cash Flow Ph 1'!F19-'Approp Cash Flow Ph 1'!B24</f>
        <v>-7.349999999999994</v>
      </c>
    </row>
    <row r="25" spans="1:10" ht="12.75">
      <c r="A25">
        <v>2026</v>
      </c>
      <c r="B25" s="3">
        <v>75</v>
      </c>
      <c r="C25" s="3">
        <v>47.97</v>
      </c>
      <c r="D25" s="3">
        <v>27.03</v>
      </c>
      <c r="E25" s="3">
        <f t="shared" si="2"/>
        <v>0</v>
      </c>
      <c r="F25" s="3">
        <f t="shared" si="3"/>
        <v>75</v>
      </c>
      <c r="G25" s="3">
        <f>SUM(F$3:F25)</f>
        <v>1546.41</v>
      </c>
      <c r="I25" s="3">
        <f>'Op Cash Flow Ph 1'!F20-'Approp Cash Flow Ph 1'!F25</f>
        <v>-3.680000000000007</v>
      </c>
      <c r="J25" s="3">
        <f>'Op Cash Flow Ph 1'!F20-'Approp Cash Flow Ph 1'!B25</f>
        <v>-3.680000000000007</v>
      </c>
    </row>
    <row r="26" spans="1:10" ht="12.75">
      <c r="A26">
        <v>2027</v>
      </c>
      <c r="B26" s="3">
        <v>75</v>
      </c>
      <c r="C26" s="3">
        <v>47.97</v>
      </c>
      <c r="D26" s="3">
        <v>17</v>
      </c>
      <c r="E26" s="3">
        <f t="shared" si="2"/>
        <v>10.030000000000001</v>
      </c>
      <c r="F26" s="3">
        <f t="shared" si="3"/>
        <v>64.97</v>
      </c>
      <c r="G26" s="3">
        <f>SUM(F$3:F26)</f>
        <v>1611.38</v>
      </c>
      <c r="I26" s="3">
        <f>'Op Cash Flow Ph 1'!F21-'Approp Cash Flow Ph 1'!F26</f>
        <v>11.23999999999998</v>
      </c>
      <c r="J26" s="3">
        <f>'Op Cash Flow Ph 1'!F21-'Approp Cash Flow Ph 1'!B26</f>
        <v>1.2099999999999795</v>
      </c>
    </row>
    <row r="27" spans="1:10" ht="12.75">
      <c r="A27">
        <v>2028</v>
      </c>
      <c r="B27" s="3">
        <v>75</v>
      </c>
      <c r="C27" s="3"/>
      <c r="D27" s="3">
        <v>19.8</v>
      </c>
      <c r="E27" s="3">
        <f t="shared" si="2"/>
        <v>55.2</v>
      </c>
      <c r="F27" s="3">
        <f t="shared" si="3"/>
        <v>19.8</v>
      </c>
      <c r="G27" s="3">
        <f>SUM(F$3:F27)</f>
        <v>1631.18</v>
      </c>
      <c r="I27" s="3">
        <f>'Op Cash Flow Ph 1'!F22-'Approp Cash Flow Ph 1'!F27</f>
        <v>61.08</v>
      </c>
      <c r="J27" s="3">
        <f>'Op Cash Flow Ph 1'!F22-'Approp Cash Flow Ph 1'!B27</f>
        <v>5.8799999999999955</v>
      </c>
    </row>
    <row r="28" spans="1:10" ht="12.75">
      <c r="A28">
        <v>2029</v>
      </c>
      <c r="B28" s="3">
        <v>75</v>
      </c>
      <c r="C28" s="3"/>
      <c r="D28" s="3">
        <v>28.96</v>
      </c>
      <c r="E28" s="3">
        <f t="shared" si="2"/>
        <v>46.04</v>
      </c>
      <c r="F28" s="3">
        <f t="shared" si="3"/>
        <v>28.96</v>
      </c>
      <c r="G28" s="3">
        <f>SUM(F$3:F28)</f>
        <v>1660.14</v>
      </c>
      <c r="I28" s="3">
        <f>'Op Cash Flow Ph 1'!F23-'Approp Cash Flow Ph 1'!F28</f>
        <v>56.86000000000002</v>
      </c>
      <c r="J28" s="3">
        <f>'Op Cash Flow Ph 1'!F23-'Approp Cash Flow Ph 1'!B28</f>
        <v>10.820000000000022</v>
      </c>
    </row>
    <row r="29" spans="1:10" ht="12.75">
      <c r="A29">
        <v>2030</v>
      </c>
      <c r="B29" s="3">
        <v>75</v>
      </c>
      <c r="C29" s="3"/>
      <c r="D29" s="3">
        <v>21.02</v>
      </c>
      <c r="E29" s="3">
        <f t="shared" si="2"/>
        <v>53.980000000000004</v>
      </c>
      <c r="F29" s="3">
        <f t="shared" si="3"/>
        <v>21.02</v>
      </c>
      <c r="G29" s="3">
        <f>SUM(F$3:F29)</f>
        <v>1681.16</v>
      </c>
      <c r="I29" s="3">
        <f>'Op Cash Flow Ph 1'!F24-'Approp Cash Flow Ph 1'!F29</f>
        <v>70.06000000000003</v>
      </c>
      <c r="J29" s="3">
        <f>'Op Cash Flow Ph 1'!F24-'Approp Cash Flow Ph 1'!B29</f>
        <v>16.080000000000027</v>
      </c>
    </row>
    <row r="30" spans="1:10" ht="12.75">
      <c r="A30">
        <v>2031</v>
      </c>
      <c r="B30" s="3">
        <v>75</v>
      </c>
      <c r="C30" s="3"/>
      <c r="D30" s="3">
        <v>17.97</v>
      </c>
      <c r="E30" s="3">
        <f t="shared" si="2"/>
        <v>57.03</v>
      </c>
      <c r="F30" s="3">
        <f t="shared" si="3"/>
        <v>17.97</v>
      </c>
      <c r="G30" s="3">
        <f>SUM(F$3:F30)</f>
        <v>1699.13</v>
      </c>
      <c r="I30" s="3">
        <f>'Op Cash Flow Ph 1'!F25-'Approp Cash Flow Ph 1'!F30</f>
        <v>78.7</v>
      </c>
      <c r="J30" s="3">
        <f>'Op Cash Flow Ph 1'!F25-'Approp Cash Flow Ph 1'!B30</f>
        <v>21.67</v>
      </c>
    </row>
    <row r="31" spans="1:10" ht="12.75">
      <c r="A31">
        <v>2032</v>
      </c>
      <c r="B31" s="3">
        <v>75</v>
      </c>
      <c r="C31" s="3"/>
      <c r="D31" s="3">
        <v>40.42</v>
      </c>
      <c r="E31" s="3">
        <f t="shared" si="2"/>
        <v>34.58</v>
      </c>
      <c r="F31" s="3">
        <f t="shared" si="3"/>
        <v>40.42</v>
      </c>
      <c r="G31" s="3">
        <f>SUM(F$3:F31)</f>
        <v>1739.5500000000002</v>
      </c>
      <c r="I31" s="3">
        <f>'Op Cash Flow Ph 1'!F26-'Approp Cash Flow Ph 1'!F31</f>
        <v>62.17999999999999</v>
      </c>
      <c r="J31" s="3">
        <f>'Op Cash Flow Ph 1'!F26-'Approp Cash Flow Ph 1'!B31</f>
        <v>27.599999999999994</v>
      </c>
    </row>
    <row r="32" spans="1:10" ht="12.75">
      <c r="A32">
        <v>2033</v>
      </c>
      <c r="B32" s="3">
        <v>75</v>
      </c>
      <c r="C32" s="3"/>
      <c r="D32" s="3">
        <v>22.04</v>
      </c>
      <c r="E32" s="3">
        <f t="shared" si="2"/>
        <v>52.96</v>
      </c>
      <c r="F32" s="3">
        <f t="shared" si="3"/>
        <v>22.04</v>
      </c>
      <c r="G32" s="3">
        <f>SUM(F$3:F32)</f>
        <v>1761.5900000000001</v>
      </c>
      <c r="I32" s="3">
        <f>'Op Cash Flow Ph 1'!F27-'Approp Cash Flow Ph 1'!F32</f>
        <v>86.83000000000004</v>
      </c>
      <c r="J32" s="3">
        <f>'Op Cash Flow Ph 1'!F27-'Approp Cash Flow Ph 1'!B32</f>
        <v>33.87000000000003</v>
      </c>
    </row>
    <row r="33" spans="1:10" ht="12.75">
      <c r="A33">
        <v>2034</v>
      </c>
      <c r="B33" s="3">
        <v>75</v>
      </c>
      <c r="D33" s="3">
        <v>21.04</v>
      </c>
      <c r="E33" s="3">
        <f t="shared" si="2"/>
        <v>53.96</v>
      </c>
      <c r="F33" s="3">
        <f t="shared" si="3"/>
        <v>21.04</v>
      </c>
      <c r="G33" s="3">
        <f>SUM(F$3:F33)</f>
        <v>1782.63</v>
      </c>
      <c r="I33" s="3">
        <f>'Op Cash Flow Ph 1'!F28-'Approp Cash Flow Ph 1'!F33</f>
        <v>94.50000000000003</v>
      </c>
      <c r="J33" s="3">
        <f>'Op Cash Flow Ph 1'!F28-'Approp Cash Flow Ph 1'!B33</f>
        <v>40.54000000000002</v>
      </c>
    </row>
    <row r="34" spans="1:10" ht="12.75">
      <c r="A34">
        <v>2035</v>
      </c>
      <c r="B34" s="3">
        <v>75</v>
      </c>
      <c r="C34" s="3"/>
      <c r="D34" s="3">
        <v>19.08</v>
      </c>
      <c r="E34" s="3">
        <f t="shared" si="2"/>
        <v>55.92</v>
      </c>
      <c r="F34" s="3">
        <f t="shared" si="3"/>
        <v>19.08</v>
      </c>
      <c r="G34" s="3">
        <f>SUM(F$3:F34)</f>
        <v>1801.71</v>
      </c>
      <c r="I34" s="3">
        <f>'Op Cash Flow Ph 1'!F29-'Approp Cash Flow Ph 1'!F34</f>
        <v>103.53999999999999</v>
      </c>
      <c r="J34" s="3">
        <f>'Op Cash Flow Ph 1'!F29-'Approp Cash Flow Ph 1'!B34</f>
        <v>47.61999999999999</v>
      </c>
    </row>
    <row r="35" spans="1:10" ht="12.75">
      <c r="A35">
        <v>2036</v>
      </c>
      <c r="B35" s="3">
        <v>75</v>
      </c>
      <c r="D35" s="3">
        <v>29.7</v>
      </c>
      <c r="E35" s="3">
        <f t="shared" si="2"/>
        <v>45.3</v>
      </c>
      <c r="F35" s="3">
        <f t="shared" si="3"/>
        <v>29.7</v>
      </c>
      <c r="G35" s="3">
        <f>SUM(F$3:F35)</f>
        <v>1831.41</v>
      </c>
      <c r="I35" s="3">
        <f>'Op Cash Flow Ph 1'!F30-'Approp Cash Flow Ph 1'!F35</f>
        <v>100.43999999999998</v>
      </c>
      <c r="J35" s="3">
        <f>'Op Cash Flow Ph 1'!F30-'Approp Cash Flow Ph 1'!B35</f>
        <v>55.139999999999986</v>
      </c>
    </row>
    <row r="36" spans="1:10" ht="12.75">
      <c r="A36">
        <v>2037</v>
      </c>
      <c r="B36" s="3">
        <v>75</v>
      </c>
      <c r="D36" s="3">
        <v>19.4</v>
      </c>
      <c r="E36" s="3">
        <f t="shared" si="2"/>
        <v>55.6</v>
      </c>
      <c r="F36" s="3">
        <f t="shared" si="3"/>
        <v>19.4</v>
      </c>
      <c r="G36" s="3">
        <f>SUM(F$3:F36)</f>
        <v>1850.8100000000002</v>
      </c>
      <c r="I36" s="3">
        <f>'Op Cash Flow Ph 1'!F31-'Approp Cash Flow Ph 1'!F36</f>
        <v>118.71000000000001</v>
      </c>
      <c r="J36" s="3">
        <f>'Op Cash Flow Ph 1'!F31-'Approp Cash Flow Ph 1'!B36</f>
        <v>63.110000000000014</v>
      </c>
    </row>
    <row r="37" spans="1:10" ht="12.75">
      <c r="A37">
        <v>2038</v>
      </c>
      <c r="B37" s="3">
        <v>75</v>
      </c>
      <c r="D37" s="3">
        <v>24.42</v>
      </c>
      <c r="E37" s="3">
        <f t="shared" si="2"/>
        <v>50.58</v>
      </c>
      <c r="F37" s="3">
        <f t="shared" si="3"/>
        <v>24.42</v>
      </c>
      <c r="G37" s="3">
        <f>SUM(F$3:F37)</f>
        <v>1875.2300000000002</v>
      </c>
      <c r="I37" s="3">
        <f>'Op Cash Flow Ph 1'!F32-'Approp Cash Flow Ph 1'!F37</f>
        <v>122.16000000000004</v>
      </c>
      <c r="J37" s="3">
        <f>'Op Cash Flow Ph 1'!F32-'Approp Cash Flow Ph 1'!B37</f>
        <v>71.58000000000004</v>
      </c>
    </row>
    <row r="38" spans="1:10" ht="12.75">
      <c r="A38">
        <v>2039</v>
      </c>
      <c r="B38" s="3">
        <v>75</v>
      </c>
      <c r="D38" s="3">
        <v>14.02</v>
      </c>
      <c r="E38" s="3">
        <f t="shared" si="2"/>
        <v>60.980000000000004</v>
      </c>
      <c r="F38" s="3">
        <f t="shared" si="3"/>
        <v>14.02</v>
      </c>
      <c r="G38" s="3">
        <f>SUM(F$3:F38)</f>
        <v>1889.2500000000002</v>
      </c>
      <c r="I38" s="3">
        <f>'Op Cash Flow Ph 1'!F33-'Approp Cash Flow Ph 1'!F38</f>
        <v>248.78</v>
      </c>
      <c r="J38" s="3">
        <f>'Op Cash Flow Ph 1'!F33-'Approp Cash Flow Ph 1'!B38</f>
        <v>187.8</v>
      </c>
    </row>
    <row r="40" spans="2:10" s="1" customFormat="1" ht="12.75">
      <c r="B40" s="6">
        <f>SUM(B3:B39)</f>
        <v>2700</v>
      </c>
      <c r="C40" s="6">
        <f>SUM(C3:C39)</f>
        <v>1286.4300000000005</v>
      </c>
      <c r="D40" s="6">
        <f>SUM(D9:D39)</f>
        <v>602.82</v>
      </c>
      <c r="E40" s="6">
        <f>SUM(E3:E39)</f>
        <v>810.7500000000001</v>
      </c>
      <c r="F40" s="6">
        <f>SUM(F3:F39)</f>
        <v>1889.2500000000002</v>
      </c>
      <c r="I40" s="6">
        <f>SUM(I3:I39)</f>
        <v>419.12000000000023</v>
      </c>
      <c r="J40" s="6">
        <f>SUM(J3:J39)</f>
        <v>-391.6299999999998</v>
      </c>
    </row>
    <row r="44" spans="1:5" ht="12.75">
      <c r="A44" t="s">
        <v>17</v>
      </c>
      <c r="C44">
        <v>2272.91</v>
      </c>
      <c r="D44" s="5">
        <v>0.37</v>
      </c>
      <c r="E44" s="7">
        <f>C44*D44</f>
        <v>840.9766999999999</v>
      </c>
    </row>
    <row r="45" spans="1:6" ht="12.75">
      <c r="A45" t="s">
        <v>18</v>
      </c>
      <c r="C45" s="3">
        <f>C44-C40</f>
        <v>986.4799999999993</v>
      </c>
      <c r="E45" s="38">
        <v>20</v>
      </c>
      <c r="F45" t="s">
        <v>45</v>
      </c>
    </row>
    <row r="46" ht="12.75">
      <c r="E46" s="37">
        <v>0.05096902512397522</v>
      </c>
    </row>
    <row r="47" ht="12.75">
      <c r="E47">
        <f>E44*(1+E46)^E45</f>
        <v>2272.9102718302206</v>
      </c>
    </row>
  </sheetData>
  <mergeCells count="1">
    <mergeCell ref="A1:G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Systems Design and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Langston</dc:creator>
  <cp:keywords/>
  <dc:description/>
  <cp:lastModifiedBy>Don Langston</cp:lastModifiedBy>
  <cp:lastPrinted>2004-08-12T18:54:09Z</cp:lastPrinted>
  <dcterms:created xsi:type="dcterms:W3CDTF">2004-06-29T14:44:59Z</dcterms:created>
  <dcterms:modified xsi:type="dcterms:W3CDTF">2004-08-12T18:54:16Z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472560918</vt:i4>
  </property>
  <property fmtid="{D5CDD505-2E9C-101B-9397-08002B2CF9AE}" pid="3" name="_EmailSubject">
    <vt:lpwstr>High Speed Rail -- Revised Numbers Spreadsheet</vt:lpwstr>
  </property>
  <property fmtid="{D5CDD505-2E9C-101B-9397-08002B2CF9AE}" pid="4" name="_AuthorEmail">
    <vt:lpwstr>Don.Langston@LASPBS.STATE.FL.US</vt:lpwstr>
  </property>
  <property fmtid="{D5CDD505-2E9C-101B-9397-08002B2CF9AE}" pid="5" name="_AuthorEmailDisplayName">
    <vt:lpwstr>Langston, Don</vt:lpwstr>
  </property>
  <property fmtid="{D5CDD505-2E9C-101B-9397-08002B2CF9AE}" pid="6" name="_PreviousAdHocReviewCycleID">
    <vt:i4>-1271041474</vt:i4>
  </property>
</Properties>
</file>